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vacoukova/Účetní Portál a.s. Dropbox/D - dropbox/Online Programy/2025/Ani kačku navíc - daňové strategie/OBSAH/9 - Paušální daň - 40 % VERSUS výdajový paušál/"/>
    </mc:Choice>
  </mc:AlternateContent>
  <xr:revisionPtr revIDLastSave="0" documentId="13_ncr:1_{5CBBA367-931C-5141-97F2-9017886F2087}" xr6:coauthVersionLast="47" xr6:coauthVersionMax="47" xr10:uidLastSave="{00000000-0000-0000-0000-000000000000}"/>
  <bookViews>
    <workbookView xWindow="0" yWindow="720" windowWidth="14580" windowHeight="18400" activeTab="1" xr2:uid="{D3D059C8-5067-3D45-BA87-E9839AC3736F}"/>
  </bookViews>
  <sheets>
    <sheet name="List1" sheetId="4" r:id="rId1"/>
    <sheet name="paušální daň propočty-PCO-I. pá" sheetId="3" r:id="rId2"/>
    <sheet name="paušální daň propočtyPCO-II. pá" sheetId="6" r:id="rId3"/>
    <sheet name="paušální daň propočtyPCOIII. pá" sheetId="5" r:id="rId4"/>
    <sheet name="List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3" l="1"/>
  <c r="C19" i="3"/>
  <c r="I19" i="3" s="1"/>
  <c r="F10" i="3"/>
  <c r="E11" i="3"/>
  <c r="E10" i="3"/>
  <c r="E9" i="3"/>
  <c r="D10" i="6"/>
  <c r="D11" i="6" s="1"/>
  <c r="D12" i="6"/>
  <c r="D13" i="6"/>
  <c r="D14" i="6"/>
  <c r="D15" i="6" s="1"/>
  <c r="D16" i="6"/>
  <c r="D18" i="6" s="1"/>
  <c r="D17" i="6"/>
  <c r="D19" i="6" s="1"/>
  <c r="D22" i="6"/>
  <c r="I20" i="6"/>
  <c r="I16" i="6"/>
  <c r="F11" i="3"/>
  <c r="F9" i="3"/>
  <c r="F8" i="3"/>
  <c r="D20" i="6" l="1"/>
  <c r="J24" i="3"/>
  <c r="G24" i="3"/>
  <c r="E24" i="3"/>
  <c r="G19" i="5"/>
  <c r="G18" i="5"/>
  <c r="D19" i="5"/>
  <c r="D18" i="5"/>
  <c r="H39" i="6"/>
  <c r="H38" i="6"/>
  <c r="F39" i="6"/>
  <c r="F38" i="6"/>
  <c r="D38" i="6"/>
  <c r="I38" i="6"/>
  <c r="I33" i="6"/>
  <c r="I34" i="6" s="1"/>
  <c r="F33" i="6"/>
  <c r="F34" i="6" s="1"/>
  <c r="D33" i="6"/>
  <c r="D34" i="6" s="1"/>
  <c r="F16" i="3"/>
  <c r="F17" i="3" s="1"/>
  <c r="F18" i="3" s="1"/>
  <c r="F35" i="3"/>
  <c r="F36" i="3" s="1"/>
  <c r="I31" i="6"/>
  <c r="I43" i="6"/>
  <c r="I42" i="6"/>
  <c r="F43" i="6"/>
  <c r="F42" i="6"/>
  <c r="D43" i="6"/>
  <c r="D42" i="6"/>
  <c r="I32" i="6"/>
  <c r="F32" i="6"/>
  <c r="D32" i="6"/>
  <c r="F31" i="6"/>
  <c r="D31" i="6"/>
  <c r="I54" i="3"/>
  <c r="N87" i="6"/>
  <c r="K87" i="6"/>
  <c r="P86" i="6"/>
  <c r="L86" i="6"/>
  <c r="G86" i="6"/>
  <c r="N82" i="6"/>
  <c r="P82" i="6" s="1"/>
  <c r="M82" i="6"/>
  <c r="L82" i="6"/>
  <c r="K82" i="6"/>
  <c r="I82" i="6"/>
  <c r="F82" i="6"/>
  <c r="G82" i="6" s="1"/>
  <c r="D78" i="6"/>
  <c r="D79" i="6" s="1"/>
  <c r="D80" i="6" s="1"/>
  <c r="N77" i="6"/>
  <c r="P77" i="6" s="1"/>
  <c r="M77" i="6"/>
  <c r="K77" i="6"/>
  <c r="L77" i="6" s="1"/>
  <c r="L87" i="6" s="1"/>
  <c r="I77" i="6"/>
  <c r="G77" i="6"/>
  <c r="D77" i="6"/>
  <c r="D82" i="6" s="1"/>
  <c r="D81" i="6" s="1"/>
  <c r="D83" i="6" s="1"/>
  <c r="D84" i="6" s="1"/>
  <c r="D85" i="6" s="1"/>
  <c r="I22" i="6"/>
  <c r="F22" i="6"/>
  <c r="I12" i="6"/>
  <c r="I13" i="6" s="1"/>
  <c r="I14" i="6" s="1"/>
  <c r="F12" i="6"/>
  <c r="F13" i="6" s="1"/>
  <c r="F14" i="6" s="1"/>
  <c r="I11" i="6"/>
  <c r="H11" i="6"/>
  <c r="F11" i="6"/>
  <c r="K4" i="6"/>
  <c r="N80" i="5"/>
  <c r="K80" i="5"/>
  <c r="P79" i="5"/>
  <c r="L79" i="5"/>
  <c r="G79" i="5"/>
  <c r="N75" i="5"/>
  <c r="P75" i="5" s="1"/>
  <c r="M75" i="5"/>
  <c r="K75" i="5"/>
  <c r="L75" i="5" s="1"/>
  <c r="I75" i="5"/>
  <c r="F75" i="5"/>
  <c r="F80" i="5" s="1"/>
  <c r="D71" i="5"/>
  <c r="D72" i="5" s="1"/>
  <c r="D73" i="5" s="1"/>
  <c r="N70" i="5"/>
  <c r="P70" i="5" s="1"/>
  <c r="M70" i="5"/>
  <c r="K70" i="5"/>
  <c r="L70" i="5" s="1"/>
  <c r="I70" i="5"/>
  <c r="G70" i="5"/>
  <c r="D70" i="5"/>
  <c r="D75" i="5" s="1"/>
  <c r="D74" i="5" s="1"/>
  <c r="D76" i="5" s="1"/>
  <c r="D77" i="5" s="1"/>
  <c r="D78" i="5" s="1"/>
  <c r="G22" i="5"/>
  <c r="G23" i="5" s="1"/>
  <c r="D22" i="5"/>
  <c r="D23" i="5" s="1"/>
  <c r="G12" i="5"/>
  <c r="G13" i="5" s="1"/>
  <c r="G14" i="5" s="1"/>
  <c r="D12" i="5"/>
  <c r="G11" i="5"/>
  <c r="F11" i="5"/>
  <c r="D11" i="5"/>
  <c r="K4" i="5"/>
  <c r="D75" i="3"/>
  <c r="D74" i="3"/>
  <c r="D73" i="3"/>
  <c r="H15" i="3"/>
  <c r="F26" i="3"/>
  <c r="D26" i="3"/>
  <c r="D27" i="3" s="1"/>
  <c r="D16" i="3"/>
  <c r="K4" i="3"/>
  <c r="I35" i="3"/>
  <c r="I36" i="3" s="1"/>
  <c r="I37" i="3" s="1"/>
  <c r="I34" i="3"/>
  <c r="D35" i="3"/>
  <c r="D36" i="3" s="1"/>
  <c r="D37" i="3" s="1"/>
  <c r="F34" i="3"/>
  <c r="D34" i="3"/>
  <c r="N132" i="3"/>
  <c r="K132" i="3"/>
  <c r="P131" i="3"/>
  <c r="L131" i="3"/>
  <c r="G131" i="3"/>
  <c r="N127" i="3"/>
  <c r="P127" i="3" s="1"/>
  <c r="M127" i="3"/>
  <c r="K127" i="3"/>
  <c r="L127" i="3" s="1"/>
  <c r="I127" i="3"/>
  <c r="F127" i="3"/>
  <c r="G127" i="3" s="1"/>
  <c r="D123" i="3"/>
  <c r="D124" i="3" s="1"/>
  <c r="D125" i="3" s="1"/>
  <c r="N122" i="3"/>
  <c r="P122" i="3" s="1"/>
  <c r="M122" i="3"/>
  <c r="K122" i="3"/>
  <c r="L122" i="3" s="1"/>
  <c r="I122" i="3"/>
  <c r="G122" i="3"/>
  <c r="D122" i="3"/>
  <c r="D127" i="3" s="1"/>
  <c r="D126" i="3" s="1"/>
  <c r="D128" i="3" s="1"/>
  <c r="D129" i="3" s="1"/>
  <c r="D130" i="3" s="1"/>
  <c r="I53" i="3"/>
  <c r="F54" i="3"/>
  <c r="F53" i="3"/>
  <c r="D54" i="3"/>
  <c r="D55" i="3" s="1"/>
  <c r="D56" i="3" s="1"/>
  <c r="I16" i="3"/>
  <c r="I17" i="3" s="1"/>
  <c r="I18" i="3" s="1"/>
  <c r="I15" i="3"/>
  <c r="F15" i="3"/>
  <c r="D21" i="6" l="1"/>
  <c r="D24" i="6"/>
  <c r="F37" i="3"/>
  <c r="F38" i="3" s="1"/>
  <c r="F40" i="3"/>
  <c r="F42" i="3" s="1"/>
  <c r="D40" i="3"/>
  <c r="D17" i="3"/>
  <c r="D18" i="3" s="1"/>
  <c r="F55" i="3"/>
  <c r="F56" i="3" s="1"/>
  <c r="I55" i="3"/>
  <c r="I56" i="3" s="1"/>
  <c r="I57" i="3" s="1"/>
  <c r="D13" i="5"/>
  <c r="D14" i="5" s="1"/>
  <c r="D15" i="5" s="1"/>
  <c r="D35" i="6"/>
  <c r="D36" i="6"/>
  <c r="D40" i="6" s="1"/>
  <c r="D41" i="6" s="1"/>
  <c r="D37" i="6"/>
  <c r="F37" i="6"/>
  <c r="F35" i="6"/>
  <c r="F36" i="6"/>
  <c r="E38" i="6" s="1"/>
  <c r="I36" i="6"/>
  <c r="I37" i="6"/>
  <c r="I39" i="6" s="1"/>
  <c r="I35" i="6"/>
  <c r="P87" i="6"/>
  <c r="F87" i="6"/>
  <c r="F15" i="6"/>
  <c r="F16" i="6"/>
  <c r="F18" i="6" s="1"/>
  <c r="F17" i="6"/>
  <c r="F19" i="6" s="1"/>
  <c r="I15" i="6"/>
  <c r="I17" i="6"/>
  <c r="G87" i="6"/>
  <c r="L80" i="5"/>
  <c r="P80" i="5"/>
  <c r="G17" i="5"/>
  <c r="G15" i="5"/>
  <c r="G16" i="5"/>
  <c r="G75" i="5"/>
  <c r="G80" i="5" s="1"/>
  <c r="F39" i="3"/>
  <c r="F41" i="3" s="1"/>
  <c r="I40" i="3"/>
  <c r="H42" i="3" s="1"/>
  <c r="I39" i="3"/>
  <c r="H41" i="3" s="1"/>
  <c r="I38" i="3"/>
  <c r="I43" i="3" s="1"/>
  <c r="D39" i="3"/>
  <c r="D41" i="3" s="1"/>
  <c r="D38" i="3"/>
  <c r="D64" i="3"/>
  <c r="D65" i="3" s="1"/>
  <c r="F132" i="3"/>
  <c r="G132" i="3"/>
  <c r="L132" i="3"/>
  <c r="P132" i="3"/>
  <c r="D58" i="3"/>
  <c r="D60" i="3" s="1"/>
  <c r="D57" i="3"/>
  <c r="I20" i="3"/>
  <c r="H22" i="3" s="1"/>
  <c r="I21" i="3"/>
  <c r="H23" i="3" s="1"/>
  <c r="P53" i="3"/>
  <c r="D53" i="3"/>
  <c r="P54" i="3"/>
  <c r="P55" i="3" s="1"/>
  <c r="P60" i="3"/>
  <c r="F43" i="3" l="1"/>
  <c r="I59" i="3"/>
  <c r="H61" i="3" s="1"/>
  <c r="F58" i="3"/>
  <c r="E60" i="3" s="1"/>
  <c r="I58" i="3"/>
  <c r="H60" i="3" s="1"/>
  <c r="F44" i="3"/>
  <c r="F59" i="3"/>
  <c r="E61" i="3" s="1"/>
  <c r="D16" i="5"/>
  <c r="D17" i="5"/>
  <c r="F40" i="6"/>
  <c r="F20" i="6"/>
  <c r="F21" i="6" s="1"/>
  <c r="I40" i="6"/>
  <c r="D44" i="6"/>
  <c r="D20" i="5"/>
  <c r="G20" i="5"/>
  <c r="G24" i="5" s="1"/>
  <c r="F57" i="3"/>
  <c r="F62" i="3" s="1"/>
  <c r="F66" i="3" s="1"/>
  <c r="I45" i="3"/>
  <c r="I46" i="3" s="1"/>
  <c r="F45" i="3"/>
  <c r="F46" i="3" s="1"/>
  <c r="I26" i="3"/>
  <c r="I27" i="3" s="1"/>
  <c r="D45" i="3"/>
  <c r="D46" i="3" s="1"/>
  <c r="D43" i="3"/>
  <c r="F64" i="3"/>
  <c r="F65" i="3" s="1"/>
  <c r="I64" i="3"/>
  <c r="I65" i="3" s="1"/>
  <c r="I62" i="3"/>
  <c r="I63" i="3" s="1"/>
  <c r="D15" i="3"/>
  <c r="I24" i="3"/>
  <c r="I25" i="3" s="1"/>
  <c r="P56" i="3"/>
  <c r="P57" i="3" s="1"/>
  <c r="P58" i="3"/>
  <c r="P64" i="3" s="1"/>
  <c r="I41" i="6" l="1"/>
  <c r="I44" i="6"/>
  <c r="F41" i="6"/>
  <c r="F44" i="6"/>
  <c r="I21" i="6"/>
  <c r="I24" i="6"/>
  <c r="F24" i="6"/>
  <c r="G21" i="5"/>
  <c r="D21" i="5"/>
  <c r="D24" i="5"/>
  <c r="F47" i="3"/>
  <c r="E74" i="3" s="1"/>
  <c r="I44" i="3"/>
  <c r="I47" i="3"/>
  <c r="D44" i="3"/>
  <c r="D47" i="3"/>
  <c r="D19" i="3"/>
  <c r="D20" i="3"/>
  <c r="D22" i="3" s="1"/>
  <c r="D21" i="3"/>
  <c r="I66" i="3"/>
  <c r="F63" i="3"/>
  <c r="I28" i="3"/>
  <c r="D24" i="3" l="1"/>
  <c r="D25" i="3" s="1"/>
  <c r="F19" i="3"/>
  <c r="F24" i="3" s="1"/>
  <c r="F21" i="3"/>
  <c r="F23" i="3" s="1"/>
  <c r="F20" i="3"/>
  <c r="F22" i="3" s="1"/>
  <c r="D59" i="3"/>
  <c r="D62" i="3"/>
  <c r="D66" i="3" s="1"/>
  <c r="E75" i="3" s="1"/>
  <c r="P61" i="3"/>
  <c r="P65" i="3" s="1"/>
  <c r="F25" i="3" l="1"/>
  <c r="D63" i="3"/>
  <c r="F27" i="3" l="1"/>
  <c r="F28" i="3" s="1"/>
  <c r="E73" i="3" s="1"/>
  <c r="D28" i="3"/>
  <c r="P66" i="3" l="1"/>
  <c r="P62" i="3" l="1"/>
</calcChain>
</file>

<file path=xl/sharedStrings.xml><?xml version="1.0" encoding="utf-8"?>
<sst xmlns="http://schemas.openxmlformats.org/spreadsheetml/2006/main" count="335" uniqueCount="81">
  <si>
    <t>Paušální daň - celkem</t>
  </si>
  <si>
    <t>Paušální daň pro rok ... (v Kč)</t>
  </si>
  <si>
    <t>Pásmo</t>
  </si>
  <si>
    <t>1.pásmo</t>
  </si>
  <si>
    <t>2.pásmo</t>
  </si>
  <si>
    <t>3.pásmo</t>
  </si>
  <si>
    <t>Minimální zdravotní pojistné</t>
  </si>
  <si>
    <t>ZD</t>
  </si>
  <si>
    <t>Ročně</t>
  </si>
  <si>
    <t>úspora</t>
  </si>
  <si>
    <t>celkem</t>
  </si>
  <si>
    <t>ročně</t>
  </si>
  <si>
    <t>Daň po nezd. Částce</t>
  </si>
  <si>
    <t xml:space="preserve">Záloha na paušální daň § 38lm </t>
  </si>
  <si>
    <t>Základ daně</t>
  </si>
  <si>
    <t>!!</t>
  </si>
  <si>
    <t>Měsíční příjem</t>
  </si>
  <si>
    <t>13,5% ročně</t>
  </si>
  <si>
    <t>13,5 % měsíčně</t>
  </si>
  <si>
    <t>29,2% ročně</t>
  </si>
  <si>
    <t>29,2 měsíčně</t>
  </si>
  <si>
    <t>50 % min. VZ (13,5 %) ZDRAVOTNÍ</t>
  </si>
  <si>
    <t>BOD ZVRATU</t>
  </si>
  <si>
    <t>35 % min. VZ (29,2 %) SOCIÁLNÍ</t>
  </si>
  <si>
    <t>ok</t>
  </si>
  <si>
    <t xml:space="preserve">Minimální sociální pojistné  </t>
  </si>
  <si>
    <t>46557x12</t>
  </si>
  <si>
    <t>16295x12</t>
  </si>
  <si>
    <t>23,278,50x12</t>
  </si>
  <si>
    <t>Daň po nezd. Částce - 30840 Kč</t>
  </si>
  <si>
    <t xml:space="preserve">Vym. Základ sociální </t>
  </si>
  <si>
    <t xml:space="preserve">Vym. Základ zdravotní </t>
  </si>
  <si>
    <t>minimální = 57 108 Kč</t>
  </si>
  <si>
    <t>minimální = 37 716 Kč</t>
  </si>
  <si>
    <t>sociální (307 276*29,2%)=89 725</t>
  </si>
  <si>
    <t>zdravotní (279 342*13,5 %)=37 712</t>
  </si>
  <si>
    <t>EFEKTIVNÍ ZDANĚNÍ</t>
  </si>
  <si>
    <t>paušální daň MĚSÍČNĚ</t>
  </si>
  <si>
    <t>paušální daň ROČNĚ</t>
  </si>
  <si>
    <t>sociální (220 000*29,2%)=64 240</t>
  </si>
  <si>
    <t>zdravotní (200 000*13,5 %)=27 000</t>
  </si>
  <si>
    <t>MĚSÍČNĚ</t>
  </si>
  <si>
    <t>paušál</t>
  </si>
  <si>
    <t>DOSAZUJI</t>
  </si>
  <si>
    <t>limit na minimální pojištění</t>
  </si>
  <si>
    <t xml:space="preserve">ZÁKLAD DANĚ - 558 684 KČ </t>
  </si>
  <si>
    <t>max 1600 000 Kč</t>
  </si>
  <si>
    <t>max 800 000 Kč</t>
  </si>
  <si>
    <t>max 1200 000 Kč</t>
  </si>
  <si>
    <t>558 684x55%</t>
  </si>
  <si>
    <t xml:space="preserve">1. </t>
  </si>
  <si>
    <t>2.</t>
  </si>
  <si>
    <t>3.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</si>
  <si>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</si>
  <si>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</si>
  <si>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</si>
  <si>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</si>
  <si>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</si>
  <si>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</si>
  <si>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</si>
  <si>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</si>
  <si>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</si>
  <si>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</si>
  <si>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</si>
  <si>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</si>
  <si>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bod zvrazu</t>
  </si>
  <si>
    <t>max. úspora - základ daně Kč</t>
  </si>
  <si>
    <t>23,278,50x12; 558 684x50%</t>
  </si>
  <si>
    <t>2. pásmo</t>
  </si>
  <si>
    <t>1 000 0001 - 1500000</t>
  </si>
  <si>
    <t>1 500 0001 - 2000000</t>
  </si>
  <si>
    <t>23 278,50x12; 559 684x50%</t>
  </si>
  <si>
    <t>15 % daň ze zaokrouhleného základu</t>
  </si>
  <si>
    <t>sociální (660 000*29,2%)=192 720</t>
  </si>
  <si>
    <t>zdravotní (600 000*13,5 %)=81 000</t>
  </si>
  <si>
    <t>sleva na poplatníka</t>
  </si>
  <si>
    <t>1 dítě</t>
  </si>
  <si>
    <t>2. dítě</t>
  </si>
  <si>
    <t>3. dítě</t>
  </si>
  <si>
    <t>ROČNĚ</t>
  </si>
  <si>
    <t>paušál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</si>
</sst>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19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 (Základní text)"/>
      <charset val="238"/>
    </font>
    <font>
      <b/>
      <sz val="12"/>
      <color rgb="FFFF0000"/>
      <name val="Calibri (Základní text)"/>
      <charset val="238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Aptos Narrow"/>
    </font>
  </fonts>
  <fills count="15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164" fontId="3" fillId="0" borderId="1" xfId="0" applyNumberFormat="1" applyFont="1" applyBorder="1" applyAlignment="1">
      <alignment horizontal="right" vertical="center" wrapText="1" inden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left" vertical="center" wrapText="1" indent="1"/>
    </xf>
    <xf numFmtId="0" fontId="4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right" vertical="center" wrapText="1" indent="1"/>
    </xf>
    <xf numFmtId="164" fontId="1" fillId="4" borderId="1" xfId="0" applyNumberFormat="1" applyFont="1" applyFill="1" applyBorder="1" applyAlignment="1">
      <alignment horizontal="right" vertical="center" wrapText="1" indent="1"/>
    </xf>
    <xf numFmtId="164" fontId="1" fillId="5" borderId="1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9" fontId="0" fillId="0" borderId="0" xfId="0" applyNumberFormat="1"/>
    <xf numFmtId="164" fontId="0" fillId="0" borderId="0" xfId="0" applyNumberFormat="1"/>
    <xf numFmtId="164" fontId="4" fillId="0" borderId="0" xfId="0" applyNumberFormat="1" applyFont="1"/>
    <xf numFmtId="164" fontId="1" fillId="6" borderId="1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left" vertical="center" wrapText="1" indent="1"/>
    </xf>
    <xf numFmtId="0" fontId="0" fillId="0" borderId="8" xfId="0" applyBorder="1"/>
    <xf numFmtId="164" fontId="0" fillId="0" borderId="8" xfId="0" applyNumberFormat="1" applyBorder="1"/>
    <xf numFmtId="0" fontId="2" fillId="2" borderId="12" xfId="0" applyFont="1" applyFill="1" applyBorder="1" applyAlignment="1">
      <alignment horizontal="left" vertical="center" wrapText="1" indent="1"/>
    </xf>
    <xf numFmtId="0" fontId="0" fillId="0" borderId="10" xfId="0" applyBorder="1"/>
    <xf numFmtId="164" fontId="0" fillId="0" borderId="10" xfId="0" applyNumberFormat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4" fillId="0" borderId="10" xfId="0" applyNumberFormat="1" applyFont="1" applyBorder="1"/>
    <xf numFmtId="164" fontId="0" fillId="0" borderId="9" xfId="0" applyNumberFormat="1" applyBorder="1"/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1" fillId="7" borderId="15" xfId="0" applyNumberFormat="1" applyFont="1" applyFill="1" applyBorder="1" applyAlignment="1">
      <alignment horizontal="center" vertical="center" wrapText="1"/>
    </xf>
    <xf numFmtId="164" fontId="4" fillId="8" borderId="0" xfId="0" applyNumberFormat="1" applyFont="1" applyFill="1"/>
    <xf numFmtId="10" fontId="0" fillId="0" borderId="0" xfId="0" applyNumberFormat="1"/>
    <xf numFmtId="0" fontId="4" fillId="0" borderId="11" xfId="0" applyFont="1" applyBorder="1" applyAlignment="1">
      <alignment horizontal="center"/>
    </xf>
    <xf numFmtId="164" fontId="0" fillId="9" borderId="0" xfId="0" applyNumberFormat="1" applyFill="1"/>
    <xf numFmtId="164" fontId="0" fillId="10" borderId="0" xfId="0" applyNumberFormat="1" applyFill="1"/>
    <xf numFmtId="164" fontId="6" fillId="6" borderId="1" xfId="0" applyNumberFormat="1" applyFont="1" applyFill="1" applyBorder="1" applyAlignment="1">
      <alignment horizontal="right" vertical="center" wrapText="1" indent="1"/>
    </xf>
    <xf numFmtId="164" fontId="1" fillId="3" borderId="1" xfId="0" applyNumberFormat="1" applyFont="1" applyFill="1" applyBorder="1" applyAlignment="1">
      <alignment horizontal="right" vertical="center" wrapText="1" indent="1"/>
    </xf>
    <xf numFmtId="0" fontId="5" fillId="0" borderId="0" xfId="0" applyFont="1"/>
    <xf numFmtId="0" fontId="0" fillId="3" borderId="0" xfId="0" applyFill="1"/>
    <xf numFmtId="164" fontId="4" fillId="12" borderId="0" xfId="0" applyNumberFormat="1" applyFont="1" applyFill="1"/>
    <xf numFmtId="0" fontId="4" fillId="0" borderId="18" xfId="0" applyFont="1" applyBorder="1" applyAlignment="1">
      <alignment horizontal="center"/>
    </xf>
    <xf numFmtId="164" fontId="1" fillId="7" borderId="1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 indent="1"/>
    </xf>
    <xf numFmtId="164" fontId="3" fillId="0" borderId="2" xfId="0" applyNumberFormat="1" applyFont="1" applyBorder="1" applyAlignment="1">
      <alignment horizontal="right" vertical="center" wrapText="1" indent="1"/>
    </xf>
    <xf numFmtId="164" fontId="1" fillId="0" borderId="0" xfId="0" applyNumberFormat="1" applyFont="1" applyAlignment="1">
      <alignment horizontal="right" vertical="center" wrapText="1" indent="1"/>
    </xf>
    <xf numFmtId="164" fontId="4" fillId="9" borderId="0" xfId="0" applyNumberFormat="1" applyFont="1" applyFill="1"/>
    <xf numFmtId="0" fontId="7" fillId="0" borderId="0" xfId="0" applyFont="1" applyAlignment="1">
      <alignment horizontal="right"/>
    </xf>
    <xf numFmtId="164" fontId="1" fillId="8" borderId="1" xfId="0" applyNumberFormat="1" applyFont="1" applyFill="1" applyBorder="1" applyAlignment="1">
      <alignment horizontal="right" vertical="center" wrapText="1" indent="1"/>
    </xf>
    <xf numFmtId="10" fontId="2" fillId="2" borderId="7" xfId="0" applyNumberFormat="1" applyFont="1" applyFill="1" applyBorder="1" applyAlignment="1">
      <alignment horizontal="left" vertical="center" wrapText="1" indent="1"/>
    </xf>
    <xf numFmtId="10" fontId="1" fillId="3" borderId="7" xfId="0" applyNumberFormat="1" applyFont="1" applyFill="1" applyBorder="1" applyAlignment="1">
      <alignment horizontal="left" vertical="center" wrapText="1" indent="1"/>
    </xf>
    <xf numFmtId="164" fontId="8" fillId="0" borderId="0" xfId="0" applyNumberFormat="1" applyFont="1"/>
    <xf numFmtId="164" fontId="5" fillId="0" borderId="0" xfId="0" applyNumberFormat="1" applyFont="1"/>
    <xf numFmtId="164" fontId="9" fillId="0" borderId="0" xfId="0" applyNumberFormat="1" applyFont="1"/>
    <xf numFmtId="9" fontId="8" fillId="0" borderId="0" xfId="0" applyNumberFormat="1" applyFont="1"/>
    <xf numFmtId="164" fontId="9" fillId="11" borderId="0" xfId="0" applyNumberFormat="1" applyFont="1" applyFill="1"/>
    <xf numFmtId="0" fontId="2" fillId="0" borderId="11" xfId="0" applyFont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right" vertical="center" wrapText="1" indent="1"/>
    </xf>
    <xf numFmtId="164" fontId="0" fillId="6" borderId="10" xfId="0" applyNumberFormat="1" applyFill="1" applyBorder="1"/>
    <xf numFmtId="164" fontId="1" fillId="6" borderId="0" xfId="0" applyNumberFormat="1" applyFont="1" applyFill="1" applyAlignment="1">
      <alignment horizontal="right" vertical="center" wrapText="1" indent="1"/>
    </xf>
    <xf numFmtId="9" fontId="4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7" fillId="0" borderId="0" xfId="0" applyFont="1" applyAlignment="1">
      <alignment horizontal="center"/>
    </xf>
    <xf numFmtId="3" fontId="4" fillId="0" borderId="0" xfId="0" applyNumberFormat="1" applyFont="1"/>
    <xf numFmtId="0" fontId="1" fillId="0" borderId="20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164" fontId="1" fillId="7" borderId="17" xfId="0" applyNumberFormat="1" applyFont="1" applyFill="1" applyBorder="1" applyAlignment="1">
      <alignment horizontal="center" vertical="center" wrapText="1"/>
    </xf>
    <xf numFmtId="164" fontId="1" fillId="7" borderId="18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10" fontId="2" fillId="2" borderId="3" xfId="0" applyNumberFormat="1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10" fontId="1" fillId="3" borderId="3" xfId="0" applyNumberFormat="1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9" fontId="1" fillId="0" borderId="3" xfId="0" applyNumberFormat="1" applyFont="1" applyBorder="1" applyAlignment="1">
      <alignment horizontal="left" vertical="center" wrapText="1" indent="1"/>
    </xf>
    <xf numFmtId="164" fontId="4" fillId="6" borderId="10" xfId="0" applyNumberFormat="1" applyFont="1" applyFill="1" applyBorder="1"/>
    <xf numFmtId="164" fontId="1" fillId="9" borderId="1" xfId="0" applyNumberFormat="1" applyFont="1" applyFill="1" applyBorder="1" applyAlignment="1">
      <alignment horizontal="right" vertical="center" wrapText="1" indent="1"/>
    </xf>
    <xf numFmtId="6" fontId="0" fillId="0" borderId="0" xfId="0" applyNumberFormat="1"/>
    <xf numFmtId="164" fontId="10" fillId="0" borderId="1" xfId="0" applyNumberFormat="1" applyFont="1" applyBorder="1" applyAlignment="1">
      <alignment horizontal="right" vertical="center" wrapText="1" indent="1"/>
    </xf>
    <xf numFmtId="164" fontId="0" fillId="0" borderId="0" xfId="0" applyNumberFormat="1" applyAlignment="1">
      <alignment horizontal="right"/>
    </xf>
    <xf numFmtId="9" fontId="2" fillId="2" borderId="7" xfId="0" applyNumberFormat="1" applyFont="1" applyFill="1" applyBorder="1" applyAlignment="1">
      <alignment horizontal="left" vertical="center" wrapText="1" indent="1"/>
    </xf>
    <xf numFmtId="9" fontId="1" fillId="0" borderId="7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right" vertical="center" wrapText="1" indent="1"/>
    </xf>
    <xf numFmtId="164" fontId="12" fillId="14" borderId="0" xfId="0" applyNumberFormat="1" applyFont="1" applyFill="1"/>
    <xf numFmtId="10" fontId="4" fillId="0" borderId="0" xfId="0" applyNumberFormat="1" applyFont="1"/>
    <xf numFmtId="164" fontId="13" fillId="0" borderId="0" xfId="0" applyNumberFormat="1" applyFont="1"/>
    <xf numFmtId="2" fontId="0" fillId="0" borderId="0" xfId="0" applyNumberFormat="1"/>
    <xf numFmtId="1" fontId="0" fillId="0" borderId="0" xfId="0" applyNumberFormat="1"/>
    <xf numFmtId="164" fontId="1" fillId="6" borderId="2" xfId="0" applyNumberFormat="1" applyFont="1" applyFill="1" applyBorder="1" applyAlignment="1">
      <alignment horizontal="right" vertical="center" wrapText="1" indent="1"/>
    </xf>
    <xf numFmtId="164" fontId="9" fillId="0" borderId="0" xfId="0" applyNumberFormat="1" applyFont="1" applyAlignment="1">
      <alignment horizontal="right" vertical="center" wrapText="1" indent="1"/>
    </xf>
    <xf numFmtId="164" fontId="7" fillId="0" borderId="0" xfId="0" applyNumberFormat="1" applyFont="1"/>
    <xf numFmtId="0" fontId="7" fillId="0" borderId="0" xfId="0" applyFont="1"/>
    <xf numFmtId="164" fontId="6" fillId="6" borderId="2" xfId="0" applyNumberFormat="1" applyFont="1" applyFill="1" applyBorder="1" applyAlignment="1">
      <alignment horizontal="right" vertical="center" wrapText="1" indent="1"/>
    </xf>
    <xf numFmtId="9" fontId="11" fillId="6" borderId="1" xfId="0" applyNumberFormat="1" applyFont="1" applyFill="1" applyBorder="1" applyAlignment="1">
      <alignment horizontal="right" vertical="center" wrapText="1" indent="1"/>
    </xf>
    <xf numFmtId="164" fontId="9" fillId="0" borderId="2" xfId="0" applyNumberFormat="1" applyFont="1" applyBorder="1" applyAlignment="1">
      <alignment horizontal="right" vertical="center" wrapText="1" inden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4" fillId="0" borderId="1" xfId="0" applyNumberFormat="1" applyFont="1" applyBorder="1"/>
    <xf numFmtId="164" fontId="9" fillId="0" borderId="1" xfId="0" applyNumberFormat="1" applyFont="1" applyBorder="1"/>
    <xf numFmtId="0" fontId="5" fillId="0" borderId="1" xfId="0" applyFont="1" applyBorder="1"/>
    <xf numFmtId="164" fontId="11" fillId="6" borderId="1" xfId="0" applyNumberFormat="1" applyFont="1" applyFill="1" applyBorder="1" applyAlignment="1">
      <alignment horizontal="right" vertical="center" wrapText="1" indent="1"/>
    </xf>
    <xf numFmtId="164" fontId="14" fillId="6" borderId="1" xfId="0" applyNumberFormat="1" applyFont="1" applyFill="1" applyBorder="1" applyAlignment="1">
      <alignment horizontal="right" vertical="center" wrapText="1" indent="1"/>
    </xf>
    <xf numFmtId="164" fontId="14" fillId="3" borderId="1" xfId="0" applyNumberFormat="1" applyFont="1" applyFill="1" applyBorder="1" applyAlignment="1">
      <alignment horizontal="right" vertical="center" wrapText="1" indent="1"/>
    </xf>
    <xf numFmtId="164" fontId="15" fillId="0" borderId="0" xfId="0" applyNumberFormat="1" applyFont="1"/>
    <xf numFmtId="164" fontId="15" fillId="9" borderId="0" xfId="0" applyNumberFormat="1" applyFont="1" applyFill="1"/>
    <xf numFmtId="164" fontId="15" fillId="9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6" fontId="0" fillId="0" borderId="0" xfId="0" applyNumberFormat="1" applyAlignment="1">
      <alignment horizontal="center"/>
    </xf>
    <xf numFmtId="10" fontId="0" fillId="9" borderId="0" xfId="0" applyNumberFormat="1" applyFill="1"/>
    <xf numFmtId="164" fontId="17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164" fontId="1" fillId="7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164" fontId="0" fillId="10" borderId="0" xfId="0" applyNumberFormat="1" applyFill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B8DFB-66B7-1944-839D-A8034F837DD9}">
  <dimension ref="A1"/>
  <sheetViews>
    <sheetView workbookViewId="0">
      <selection sqref="A1:XFD18"/>
    </sheetView>
  </sheetViews>
  <sheetFormatPr baseColWidth="10" defaultRowHeight="16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CB6B-7D62-904C-AA95-C0A099AB5E26}">
  <dimension ref="A1:R132"/>
  <sheetViews>
    <sheetView tabSelected="1" topLeftCell="E27" zoomScale="165" zoomScaleNormal="110" workbookViewId="0">
      <selection activeCell="D15" sqref="D15"/>
    </sheetView>
  </sheetViews>
  <sheetFormatPr baseColWidth="10" defaultRowHeight="16" x14ac:dyDescent="0.2"/>
  <cols>
    <col min="1" max="1" width="5.6640625" style="7" customWidth="1"/>
    <col min="2" max="2" width="35.6640625" bestFit="1" customWidth="1"/>
    <col min="3" max="3" width="12.83203125" customWidth="1"/>
    <col min="4" max="4" width="33.1640625" customWidth="1"/>
    <col min="5" max="5" width="27.6640625" customWidth="1"/>
    <col min="6" max="6" width="16.1640625" customWidth="1"/>
    <col min="7" max="7" width="20.6640625" customWidth="1"/>
    <col min="8" max="8" width="13.1640625" customWidth="1"/>
    <col min="9" max="10" width="21.83203125" customWidth="1"/>
    <col min="11" max="11" width="22.6640625" customWidth="1"/>
    <col min="12" max="12" width="13.83203125" customWidth="1"/>
    <col min="13" max="13" width="23.1640625" customWidth="1"/>
    <col min="14" max="15" width="24" customWidth="1"/>
    <col min="16" max="16" width="14" customWidth="1"/>
  </cols>
  <sheetData>
    <row r="1" spans="1:16" ht="17" thickBot="1" x14ac:dyDescent="0.25">
      <c r="C1">
        <v>12</v>
      </c>
      <c r="D1">
        <v>46557</v>
      </c>
    </row>
    <row r="2" spans="1:16" ht="17" thickBot="1" x14ac:dyDescent="0.25">
      <c r="B2" s="2" t="s">
        <v>1</v>
      </c>
      <c r="C2" s="73"/>
      <c r="D2" s="3"/>
      <c r="E2" s="3"/>
      <c r="F2" s="3">
        <v>2025</v>
      </c>
      <c r="G2" s="3"/>
      <c r="H2" s="3"/>
      <c r="I2" s="3"/>
      <c r="J2" s="3"/>
      <c r="K2" s="3"/>
      <c r="L2" s="3"/>
      <c r="M2" s="3"/>
      <c r="N2" s="3"/>
      <c r="O2" s="18"/>
    </row>
    <row r="3" spans="1:16" ht="17" thickBot="1" x14ac:dyDescent="0.25">
      <c r="B3" s="28" t="s">
        <v>2</v>
      </c>
      <c r="C3" s="74"/>
      <c r="D3" s="128" t="s">
        <v>3</v>
      </c>
      <c r="E3" s="128"/>
      <c r="F3" s="128"/>
      <c r="G3" s="128"/>
      <c r="H3" s="59"/>
      <c r="I3" s="129" t="s">
        <v>4</v>
      </c>
      <c r="J3" s="129"/>
      <c r="K3" s="129"/>
      <c r="L3" s="129"/>
      <c r="M3" s="36" t="s">
        <v>5</v>
      </c>
      <c r="N3" s="36"/>
      <c r="O3" s="44"/>
      <c r="P3" s="5"/>
    </row>
    <row r="4" spans="1:16" ht="29" customHeight="1" thickBot="1" x14ac:dyDescent="0.25">
      <c r="B4" s="29" t="s">
        <v>0</v>
      </c>
      <c r="C4" s="75"/>
      <c r="D4" s="30"/>
      <c r="E4" s="30"/>
      <c r="F4" s="30">
        <v>8716</v>
      </c>
      <c r="G4" s="31"/>
      <c r="H4" s="31"/>
      <c r="I4" s="30"/>
      <c r="J4" s="30"/>
      <c r="K4" s="33">
        <f>16745</f>
        <v>16745</v>
      </c>
      <c r="L4" s="31" t="s">
        <v>11</v>
      </c>
      <c r="M4" s="30"/>
      <c r="N4" s="33">
        <v>27139</v>
      </c>
      <c r="O4" s="45"/>
      <c r="P4" s="32" t="s">
        <v>11</v>
      </c>
    </row>
    <row r="5" spans="1:16" ht="29" customHeight="1" x14ac:dyDescent="0.2">
      <c r="B5" s="67"/>
      <c r="C5" s="76"/>
      <c r="D5" s="68">
        <v>558684</v>
      </c>
      <c r="E5" s="91" t="s">
        <v>26</v>
      </c>
      <c r="F5" s="66"/>
      <c r="G5" s="69"/>
      <c r="H5" s="69"/>
      <c r="I5" s="68"/>
      <c r="J5" s="68"/>
      <c r="K5" s="70"/>
      <c r="L5" s="69"/>
      <c r="M5" s="68"/>
      <c r="N5" s="70"/>
      <c r="O5" s="71"/>
      <c r="P5" s="72"/>
    </row>
    <row r="6" spans="1:16" ht="29" customHeight="1" x14ac:dyDescent="0.2">
      <c r="B6" s="121"/>
      <c r="C6" s="121"/>
      <c r="D6" s="122"/>
      <c r="E6" s="123"/>
      <c r="F6" s="66"/>
      <c r="G6" s="124"/>
      <c r="H6" s="124"/>
      <c r="I6" s="122"/>
      <c r="J6" s="122"/>
      <c r="K6" s="125"/>
      <c r="L6" s="124"/>
      <c r="M6" s="122"/>
      <c r="N6" s="70"/>
      <c r="O6" s="125"/>
      <c r="P6" s="124"/>
    </row>
    <row r="7" spans="1:16" ht="14" customHeight="1" x14ac:dyDescent="0.2">
      <c r="B7" s="121"/>
      <c r="C7" s="121"/>
      <c r="D7" s="122"/>
      <c r="E7" s="126" t="s">
        <v>41</v>
      </c>
      <c r="F7" s="126" t="s">
        <v>79</v>
      </c>
      <c r="G7" s="124"/>
      <c r="H7" s="124"/>
      <c r="I7" s="122"/>
      <c r="J7" s="122"/>
      <c r="K7" s="125"/>
      <c r="L7" s="124"/>
      <c r="M7" s="122"/>
      <c r="N7" s="70"/>
      <c r="O7" s="125"/>
      <c r="P7" s="124"/>
    </row>
    <row r="8" spans="1:16" ht="19" customHeight="1" x14ac:dyDescent="0.2">
      <c r="B8" s="13" t="s">
        <v>75</v>
      </c>
      <c r="C8" s="13">
        <v>2570</v>
      </c>
      <c r="D8" s="13">
        <v>2570</v>
      </c>
      <c r="E8" s="13">
        <v>0</v>
      </c>
      <c r="F8" s="14">
        <f>D8*12</f>
        <v>30840</v>
      </c>
      <c r="G8" s="124"/>
      <c r="H8" s="124"/>
      <c r="I8" s="122"/>
      <c r="J8" s="122"/>
      <c r="K8" s="125"/>
      <c r="L8" s="124"/>
      <c r="M8" s="122"/>
      <c r="N8" s="70"/>
      <c r="O8" s="125"/>
      <c r="P8" s="124"/>
    </row>
    <row r="9" spans="1:16" ht="19" customHeight="1" x14ac:dyDescent="0.2">
      <c r="B9" s="13" t="s">
        <v>76</v>
      </c>
      <c r="C9" s="13">
        <v>1267</v>
      </c>
      <c r="D9" s="13">
        <v>1267</v>
      </c>
      <c r="E9" s="13">
        <f>D8+D9</f>
        <v>3837</v>
      </c>
      <c r="F9" s="14">
        <f>E9*12</f>
        <v>46044</v>
      </c>
      <c r="G9" s="124"/>
      <c r="H9" s="124"/>
      <c r="I9" s="122"/>
      <c r="J9" s="122"/>
      <c r="K9" s="125"/>
      <c r="L9" s="124"/>
      <c r="M9" s="122"/>
      <c r="N9" s="70"/>
      <c r="O9" s="125"/>
      <c r="P9" s="124"/>
    </row>
    <row r="10" spans="1:16" x14ac:dyDescent="0.2">
      <c r="B10" s="13" t="s">
        <v>77</v>
      </c>
      <c r="C10" s="13">
        <v>1860</v>
      </c>
      <c r="D10" s="13">
        <v>1860</v>
      </c>
      <c r="E10" s="13">
        <f>D8+D9+D10</f>
        <v>5697</v>
      </c>
      <c r="F10" s="14">
        <f>E10*12</f>
        <v>68364</v>
      </c>
      <c r="N10" s="8"/>
      <c r="O10" s="48"/>
    </row>
    <row r="11" spans="1:16" x14ac:dyDescent="0.2">
      <c r="B11" s="13" t="s">
        <v>78</v>
      </c>
      <c r="C11" s="13">
        <v>2320</v>
      </c>
      <c r="D11" s="13">
        <v>2320</v>
      </c>
      <c r="E11" s="13">
        <f>D8+D9+D10+D11</f>
        <v>8017</v>
      </c>
      <c r="F11" s="14">
        <f>E11*12</f>
        <v>96204</v>
      </c>
    </row>
    <row r="12" spans="1:16" x14ac:dyDescent="0.2">
      <c r="D12" s="63">
        <v>0.4</v>
      </c>
      <c r="E12" s="7"/>
      <c r="F12" s="88"/>
      <c r="G12" s="87"/>
    </row>
    <row r="13" spans="1:16" ht="19" x14ac:dyDescent="0.25">
      <c r="D13" s="65" t="s">
        <v>44</v>
      </c>
      <c r="E13" s="50"/>
      <c r="F13" s="65" t="s">
        <v>43</v>
      </c>
      <c r="G13" s="65"/>
      <c r="I13" s="65" t="s">
        <v>22</v>
      </c>
      <c r="L13" s="119" t="s">
        <v>75</v>
      </c>
      <c r="M13" s="119">
        <v>2570</v>
      </c>
      <c r="N13" s="119">
        <v>2570</v>
      </c>
      <c r="O13" s="119">
        <v>0</v>
      </c>
    </row>
    <row r="14" spans="1:16" ht="19" x14ac:dyDescent="0.25">
      <c r="A14" s="7" t="s">
        <v>50</v>
      </c>
      <c r="B14" s="16" t="s">
        <v>7</v>
      </c>
      <c r="C14" s="16"/>
      <c r="D14" s="15">
        <v>931140</v>
      </c>
      <c r="E14" s="15"/>
      <c r="F14" s="15">
        <v>1000000</v>
      </c>
      <c r="G14" s="15"/>
      <c r="H14" s="15"/>
      <c r="I14" s="39">
        <v>451250</v>
      </c>
      <c r="L14" s="119" t="s">
        <v>76</v>
      </c>
      <c r="M14" s="119">
        <v>1267</v>
      </c>
      <c r="N14" s="119">
        <v>1267</v>
      </c>
      <c r="O14" s="120">
        <v>1267</v>
      </c>
    </row>
    <row r="15" spans="1:16" ht="19" x14ac:dyDescent="0.25">
      <c r="A15" s="7" t="s">
        <v>51</v>
      </c>
      <c r="B15" s="17" t="s">
        <v>41</v>
      </c>
      <c r="C15" s="16"/>
      <c r="D15" s="15">
        <f>D14/12</f>
        <v>77595</v>
      </c>
      <c r="E15" s="15"/>
      <c r="F15" s="15">
        <f>F14/12</f>
        <v>83333.333333333328</v>
      </c>
      <c r="G15" s="15"/>
      <c r="H15" s="15">
        <f t="shared" ref="H15" si="0">H14/12</f>
        <v>0</v>
      </c>
      <c r="I15" s="15">
        <f>I14/12</f>
        <v>37604.166666666664</v>
      </c>
      <c r="L15" s="119" t="s">
        <v>77</v>
      </c>
      <c r="M15" s="119">
        <v>1860</v>
      </c>
      <c r="N15" s="119">
        <v>1860</v>
      </c>
      <c r="O15" s="120">
        <v>3127</v>
      </c>
    </row>
    <row r="16" spans="1:16" ht="19" x14ac:dyDescent="0.25">
      <c r="A16" s="7" t="s">
        <v>52</v>
      </c>
      <c r="B16" s="17" t="s">
        <v>80</v>
      </c>
      <c r="C16" s="17"/>
      <c r="D16" s="15">
        <f>D14*D12</f>
        <v>372456</v>
      </c>
      <c r="E16" s="102">
        <v>0.4</v>
      </c>
      <c r="F16" s="15">
        <f>F14*D12</f>
        <v>400000</v>
      </c>
      <c r="G16" s="15"/>
      <c r="H16" s="15"/>
      <c r="I16" s="15">
        <f>I14*D12</f>
        <v>180500</v>
      </c>
      <c r="L16" s="119" t="s">
        <v>78</v>
      </c>
      <c r="M16" s="119">
        <v>2320</v>
      </c>
      <c r="N16" s="119">
        <v>2320</v>
      </c>
      <c r="O16" s="120">
        <v>5447</v>
      </c>
    </row>
    <row r="17" spans="1:18" ht="17" x14ac:dyDescent="0.2">
      <c r="A17" s="7" t="s">
        <v>53</v>
      </c>
      <c r="B17" s="17" t="s">
        <v>14</v>
      </c>
      <c r="C17" s="17"/>
      <c r="D17" s="8">
        <f>D14-D16</f>
        <v>558684</v>
      </c>
      <c r="E17" s="91" t="s">
        <v>26</v>
      </c>
      <c r="F17" s="8">
        <f>F14-F16</f>
        <v>600000</v>
      </c>
      <c r="G17" s="109" t="s">
        <v>47</v>
      </c>
      <c r="H17" s="8"/>
      <c r="I17" s="8">
        <f>I14-I16</f>
        <v>270750</v>
      </c>
    </row>
    <row r="18" spans="1:18" ht="17" customHeight="1" x14ac:dyDescent="0.2">
      <c r="A18" s="7" t="s">
        <v>54</v>
      </c>
      <c r="B18" s="16" t="s">
        <v>72</v>
      </c>
      <c r="C18" s="16"/>
      <c r="D18" s="15">
        <f>FLOOR(D17,100)*0.15</f>
        <v>83790</v>
      </c>
      <c r="E18" s="15"/>
      <c r="F18" s="15">
        <f>FLOOR(F17,100)*0.15</f>
        <v>90000</v>
      </c>
      <c r="G18" s="110"/>
      <c r="H18" s="15"/>
      <c r="I18" s="15">
        <f>FLOOR(I17,100)*0.15</f>
        <v>40605</v>
      </c>
      <c r="J18" s="103"/>
    </row>
    <row r="19" spans="1:18" x14ac:dyDescent="0.2">
      <c r="A19" s="7" t="s">
        <v>55</v>
      </c>
      <c r="B19" s="16" t="s">
        <v>29</v>
      </c>
      <c r="C19" s="127">
        <f>F8</f>
        <v>30840</v>
      </c>
      <c r="D19" s="85">
        <f>D18-C19</f>
        <v>52950</v>
      </c>
      <c r="E19" s="15"/>
      <c r="F19" s="85">
        <f>F18-C19</f>
        <v>59160</v>
      </c>
      <c r="G19" s="111"/>
      <c r="H19" s="40"/>
      <c r="I19" s="85">
        <f>I18-C19</f>
        <v>9765</v>
      </c>
      <c r="J19" s="103"/>
    </row>
    <row r="20" spans="1:18" ht="17" x14ac:dyDescent="0.2">
      <c r="A20" s="7" t="s">
        <v>56</v>
      </c>
      <c r="B20" t="s">
        <v>30</v>
      </c>
      <c r="C20" s="12">
        <v>0.55000000000000004</v>
      </c>
      <c r="D20" s="13">
        <f>D17*C20</f>
        <v>307276.2</v>
      </c>
      <c r="E20" s="91" t="s">
        <v>49</v>
      </c>
      <c r="F20" s="13">
        <f>F17*C20</f>
        <v>330000</v>
      </c>
      <c r="G20" s="112"/>
      <c r="H20" s="13"/>
      <c r="I20" s="13">
        <f>I17*C20</f>
        <v>148912.5</v>
      </c>
      <c r="J20" s="54"/>
    </row>
    <row r="21" spans="1:18" ht="18" customHeight="1" x14ac:dyDescent="0.2">
      <c r="A21" s="7" t="s">
        <v>57</v>
      </c>
      <c r="B21" t="s">
        <v>31</v>
      </c>
      <c r="C21" s="12">
        <v>0.5</v>
      </c>
      <c r="D21" s="13">
        <f>D17*C21</f>
        <v>279342</v>
      </c>
      <c r="E21" s="91" t="s">
        <v>71</v>
      </c>
      <c r="F21" s="13">
        <f>F17*C21</f>
        <v>300000</v>
      </c>
      <c r="G21" s="112"/>
      <c r="H21" s="13"/>
      <c r="I21" s="13">
        <f>I17*C21</f>
        <v>135375</v>
      </c>
      <c r="J21" s="54"/>
    </row>
    <row r="22" spans="1:18" x14ac:dyDescent="0.2">
      <c r="A22" s="7" t="s">
        <v>58</v>
      </c>
      <c r="B22" t="s">
        <v>34</v>
      </c>
      <c r="C22" s="35">
        <v>0.29199999999999998</v>
      </c>
      <c r="D22" s="37">
        <f>ROUND(D20*C22,1)</f>
        <v>89724.7</v>
      </c>
      <c r="E22" s="114" t="s">
        <v>32</v>
      </c>
      <c r="F22" s="37">
        <f>ROUND(F20*C22,1)</f>
        <v>96360</v>
      </c>
      <c r="G22" s="114" t="s">
        <v>32</v>
      </c>
      <c r="H22" s="96">
        <f>I20*C22</f>
        <v>43482.45</v>
      </c>
      <c r="I22" s="37">
        <v>57108</v>
      </c>
      <c r="J22" s="114" t="s">
        <v>32</v>
      </c>
      <c r="R22" s="13"/>
    </row>
    <row r="23" spans="1:18" x14ac:dyDescent="0.2">
      <c r="A23" s="7" t="s">
        <v>59</v>
      </c>
      <c r="B23" t="s">
        <v>35</v>
      </c>
      <c r="C23" s="35">
        <v>0.13500000000000001</v>
      </c>
      <c r="D23" s="37">
        <v>37716</v>
      </c>
      <c r="E23" s="114" t="s">
        <v>33</v>
      </c>
      <c r="F23" s="37">
        <f>ROUND(F21*C23,1)</f>
        <v>40500</v>
      </c>
      <c r="G23" s="114" t="s">
        <v>33</v>
      </c>
      <c r="H23" s="96">
        <f>I21*C23</f>
        <v>18275.625</v>
      </c>
      <c r="I23" s="37">
        <v>37716</v>
      </c>
      <c r="J23" s="114" t="s">
        <v>33</v>
      </c>
      <c r="R23" s="12"/>
    </row>
    <row r="24" spans="1:18" x14ac:dyDescent="0.2">
      <c r="A24" s="7" t="s">
        <v>60</v>
      </c>
      <c r="B24" t="s">
        <v>10</v>
      </c>
      <c r="D24" s="14">
        <f>D19+D22+D23</f>
        <v>180390.7</v>
      </c>
      <c r="E24" s="118">
        <f>57108+37716</f>
        <v>94824</v>
      </c>
      <c r="F24" s="14">
        <f>F19+F22+F23</f>
        <v>196020</v>
      </c>
      <c r="G24" s="118">
        <f>57108+37716</f>
        <v>94824</v>
      </c>
      <c r="H24" s="14"/>
      <c r="I24" s="14">
        <f>I19+I22+I23</f>
        <v>104589</v>
      </c>
      <c r="J24" s="118">
        <f>57108+37716</f>
        <v>94824</v>
      </c>
    </row>
    <row r="25" spans="1:18" x14ac:dyDescent="0.2">
      <c r="A25" s="7" t="s">
        <v>61</v>
      </c>
      <c r="B25" t="s">
        <v>36</v>
      </c>
      <c r="D25" s="35">
        <f>D24/D14</f>
        <v>0.19373101789204633</v>
      </c>
      <c r="E25" s="12"/>
      <c r="F25" s="35">
        <f>F24/F14</f>
        <v>0.19602</v>
      </c>
      <c r="G25" s="12"/>
      <c r="H25" s="12"/>
      <c r="I25" s="35">
        <f>I24/I14</f>
        <v>0.23177617728531855</v>
      </c>
      <c r="J25" s="57"/>
    </row>
    <row r="26" spans="1:18" x14ac:dyDescent="0.2">
      <c r="A26" s="7" t="s">
        <v>62</v>
      </c>
      <c r="B26" t="s">
        <v>37</v>
      </c>
      <c r="D26" s="13">
        <f>F4</f>
        <v>8716</v>
      </c>
      <c r="E26" s="13"/>
      <c r="F26" s="13">
        <f>F4</f>
        <v>8716</v>
      </c>
      <c r="G26" s="13"/>
      <c r="H26" s="13"/>
      <c r="I26" s="13">
        <f>F4</f>
        <v>8716</v>
      </c>
      <c r="J26" s="54"/>
    </row>
    <row r="27" spans="1:18" x14ac:dyDescent="0.2">
      <c r="A27" s="7" t="s">
        <v>63</v>
      </c>
      <c r="B27" t="s">
        <v>38</v>
      </c>
      <c r="C27">
        <v>12</v>
      </c>
      <c r="D27" s="14">
        <f>D26*C27</f>
        <v>104592</v>
      </c>
      <c r="E27" s="13"/>
      <c r="F27" s="14">
        <f>F26*C1</f>
        <v>104592</v>
      </c>
      <c r="G27" s="13"/>
      <c r="H27" s="13"/>
      <c r="I27" s="14">
        <f>I26*C1</f>
        <v>104592</v>
      </c>
      <c r="J27" s="54"/>
    </row>
    <row r="28" spans="1:18" x14ac:dyDescent="0.2">
      <c r="A28" s="7" t="s">
        <v>64</v>
      </c>
      <c r="B28" t="s">
        <v>9</v>
      </c>
      <c r="D28" s="34">
        <f>D27-D24</f>
        <v>-75798.700000000012</v>
      </c>
      <c r="E28" s="14"/>
      <c r="F28" s="34">
        <f>F27-F24</f>
        <v>-91428</v>
      </c>
      <c r="G28" s="14"/>
      <c r="H28" s="14"/>
      <c r="I28" s="34">
        <f>I27-I24</f>
        <v>3</v>
      </c>
      <c r="J28" s="56"/>
    </row>
    <row r="29" spans="1:18" x14ac:dyDescent="0.2">
      <c r="E29" s="14"/>
      <c r="F29" s="14"/>
      <c r="G29" s="14"/>
      <c r="H29" s="14"/>
      <c r="I29" s="14"/>
      <c r="J29" s="14"/>
    </row>
    <row r="30" spans="1:18" x14ac:dyDescent="0.2">
      <c r="E30" s="14"/>
      <c r="F30" s="14"/>
      <c r="G30" s="14"/>
      <c r="H30" s="14"/>
      <c r="I30" s="14"/>
      <c r="J30" s="14"/>
    </row>
    <row r="31" spans="1:18" x14ac:dyDescent="0.2">
      <c r="D31" s="63">
        <v>0.6</v>
      </c>
      <c r="E31" s="7"/>
    </row>
    <row r="32" spans="1:18" x14ac:dyDescent="0.2">
      <c r="D32" s="65" t="s">
        <v>44</v>
      </c>
      <c r="E32" s="50"/>
      <c r="F32" s="65" t="s">
        <v>43</v>
      </c>
      <c r="G32" s="65"/>
      <c r="I32" s="65" t="s">
        <v>22</v>
      </c>
    </row>
    <row r="33" spans="1:16" x14ac:dyDescent="0.2">
      <c r="A33" s="7" t="s">
        <v>50</v>
      </c>
      <c r="B33" s="16" t="s">
        <v>7</v>
      </c>
      <c r="C33" s="16"/>
      <c r="D33" s="15">
        <v>1396710</v>
      </c>
      <c r="E33" s="15"/>
      <c r="F33" s="15">
        <v>1500000</v>
      </c>
      <c r="G33" s="14"/>
      <c r="H33" s="14"/>
      <c r="I33" s="39">
        <v>676800</v>
      </c>
      <c r="J33" s="14"/>
      <c r="K33" s="14"/>
      <c r="L33" s="14"/>
      <c r="M33" s="14"/>
    </row>
    <row r="34" spans="1:16" x14ac:dyDescent="0.2">
      <c r="A34" s="7" t="s">
        <v>51</v>
      </c>
      <c r="B34" s="16" t="s">
        <v>16</v>
      </c>
      <c r="C34" s="16"/>
      <c r="D34" s="15">
        <f>D33/12</f>
        <v>116392.5</v>
      </c>
      <c r="E34" s="15"/>
      <c r="F34" s="15">
        <f t="shared" ref="F34" si="1">F33/12</f>
        <v>125000</v>
      </c>
      <c r="I34" s="15">
        <f t="shared" ref="I34" si="2">I33/12</f>
        <v>56400</v>
      </c>
      <c r="J34" s="14"/>
      <c r="K34" s="14"/>
      <c r="L34" s="14"/>
      <c r="M34" s="14"/>
    </row>
    <row r="35" spans="1:16" ht="17" x14ac:dyDescent="0.2">
      <c r="A35" s="7" t="s">
        <v>52</v>
      </c>
      <c r="B35" s="17">
        <v>0.6</v>
      </c>
      <c r="C35" s="92">
        <v>558684</v>
      </c>
      <c r="D35" s="15">
        <f>D33*B35</f>
        <v>838026</v>
      </c>
      <c r="E35" s="15"/>
      <c r="F35" s="15">
        <f>F33*B35</f>
        <v>900000</v>
      </c>
      <c r="G35" s="109" t="s">
        <v>48</v>
      </c>
      <c r="H35" s="14"/>
      <c r="I35" s="15">
        <f>I33*D31</f>
        <v>406080</v>
      </c>
    </row>
    <row r="36" spans="1:16" x14ac:dyDescent="0.2">
      <c r="A36" s="7" t="s">
        <v>53</v>
      </c>
      <c r="B36" s="17" t="s">
        <v>14</v>
      </c>
      <c r="C36" s="17"/>
      <c r="D36" s="8">
        <f>D33-D35</f>
        <v>558684</v>
      </c>
      <c r="E36" s="8"/>
      <c r="F36" s="8">
        <f>F33-F35</f>
        <v>600000</v>
      </c>
      <c r="I36" s="8">
        <f>I33-I35</f>
        <v>270720</v>
      </c>
      <c r="J36" s="14"/>
      <c r="K36" s="14"/>
      <c r="L36" s="14"/>
      <c r="M36" s="14"/>
    </row>
    <row r="37" spans="1:16" x14ac:dyDescent="0.2">
      <c r="A37" s="7" t="s">
        <v>54</v>
      </c>
      <c r="B37" s="16" t="s">
        <v>72</v>
      </c>
      <c r="C37" s="16"/>
      <c r="D37" s="15">
        <f>FLOOR(D36,100)*0.15</f>
        <v>83790</v>
      </c>
      <c r="E37" s="15"/>
      <c r="F37" s="15">
        <f>FLOOR(F36,100)*0.15</f>
        <v>90000</v>
      </c>
      <c r="G37" s="14"/>
      <c r="H37" s="14"/>
      <c r="I37" s="15">
        <f>FLOOR(I36,100)*0.15</f>
        <v>40605</v>
      </c>
      <c r="J37" s="14"/>
      <c r="K37" s="14"/>
      <c r="L37" s="14"/>
      <c r="M37" s="14"/>
      <c r="P37" s="13"/>
    </row>
    <row r="38" spans="1:16" x14ac:dyDescent="0.2">
      <c r="A38" s="7" t="s">
        <v>55</v>
      </c>
      <c r="B38" s="16" t="s">
        <v>12</v>
      </c>
      <c r="C38" s="88">
        <f>F8</f>
        <v>30840</v>
      </c>
      <c r="D38" s="49">
        <f>D37-C38</f>
        <v>52950</v>
      </c>
      <c r="E38" s="15"/>
      <c r="F38" s="85">
        <f>F37-C38</f>
        <v>59160</v>
      </c>
      <c r="I38" s="85">
        <f>I37-C38</f>
        <v>9765</v>
      </c>
      <c r="P38" s="14"/>
    </row>
    <row r="39" spans="1:16" x14ac:dyDescent="0.2">
      <c r="A39" s="7" t="s">
        <v>56</v>
      </c>
      <c r="B39" t="s">
        <v>30</v>
      </c>
      <c r="C39" s="12">
        <v>0.55000000000000004</v>
      </c>
      <c r="D39" s="37">
        <f>D36*C39</f>
        <v>307276.2</v>
      </c>
      <c r="E39" s="13"/>
      <c r="F39" s="13">
        <f>F36*C39</f>
        <v>330000</v>
      </c>
      <c r="G39" s="14"/>
      <c r="H39" s="14"/>
      <c r="I39" s="13">
        <f>I36*C39</f>
        <v>148896</v>
      </c>
      <c r="J39" s="14"/>
      <c r="K39" s="14"/>
      <c r="L39" s="14"/>
      <c r="M39" s="14"/>
      <c r="P39" s="13"/>
    </row>
    <row r="40" spans="1:16" x14ac:dyDescent="0.2">
      <c r="A40" s="7" t="s">
        <v>57</v>
      </c>
      <c r="B40" t="s">
        <v>31</v>
      </c>
      <c r="C40" s="12">
        <v>0.5</v>
      </c>
      <c r="D40" s="94">
        <f>D36*C40</f>
        <v>279342</v>
      </c>
      <c r="E40" s="14"/>
      <c r="F40" s="14">
        <f>F36*C40</f>
        <v>300000</v>
      </c>
      <c r="H40" s="14"/>
      <c r="I40" s="14">
        <f>I36*C40</f>
        <v>135360</v>
      </c>
      <c r="J40" s="14"/>
      <c r="K40" s="14"/>
      <c r="L40" s="14"/>
      <c r="M40" s="14"/>
      <c r="P40" s="13"/>
    </row>
    <row r="41" spans="1:16" x14ac:dyDescent="0.2">
      <c r="A41" s="7" t="s">
        <v>58</v>
      </c>
      <c r="B41" t="s">
        <v>34</v>
      </c>
      <c r="C41" s="35">
        <v>0.29199999999999998</v>
      </c>
      <c r="D41" s="49">
        <f>ROUND(D39*C41,1)</f>
        <v>89724.7</v>
      </c>
      <c r="E41" s="114" t="s">
        <v>32</v>
      </c>
      <c r="F41" s="49">
        <f>ROUND(F39*C41,1)</f>
        <v>96360</v>
      </c>
      <c r="G41" s="114" t="s">
        <v>32</v>
      </c>
      <c r="H41" s="113">
        <f>I39*C41</f>
        <v>43477.631999999998</v>
      </c>
      <c r="I41" s="49">
        <v>57108</v>
      </c>
      <c r="J41" s="37" t="s">
        <v>32</v>
      </c>
      <c r="P41" s="14"/>
    </row>
    <row r="42" spans="1:16" x14ac:dyDescent="0.2">
      <c r="A42" s="7" t="s">
        <v>59</v>
      </c>
      <c r="B42" t="s">
        <v>35</v>
      </c>
      <c r="C42" s="35">
        <v>0.13500000000000001</v>
      </c>
      <c r="D42" s="49">
        <v>37716</v>
      </c>
      <c r="E42" s="114" t="s">
        <v>33</v>
      </c>
      <c r="F42" s="49">
        <f>F40*C42</f>
        <v>40500</v>
      </c>
      <c r="G42" s="114" t="s">
        <v>33</v>
      </c>
      <c r="H42" s="113">
        <f>I40*C42</f>
        <v>18273.600000000002</v>
      </c>
      <c r="I42" s="49">
        <v>37716</v>
      </c>
      <c r="J42" s="37" t="s">
        <v>33</v>
      </c>
      <c r="K42" s="14"/>
      <c r="L42" s="14"/>
      <c r="M42" s="14"/>
      <c r="P42" s="14"/>
    </row>
    <row r="43" spans="1:16" x14ac:dyDescent="0.2">
      <c r="A43" s="7" t="s">
        <v>60</v>
      </c>
      <c r="B43" t="s">
        <v>10</v>
      </c>
      <c r="C43" s="35"/>
      <c r="D43" s="14">
        <f>D42+D41+D38</f>
        <v>180390.7</v>
      </c>
      <c r="E43" s="14"/>
      <c r="F43" s="14">
        <f>F38+F41+F42</f>
        <v>196020</v>
      </c>
      <c r="G43" s="14"/>
      <c r="H43" s="14"/>
      <c r="I43" s="14">
        <f>I38+I41+I42</f>
        <v>104589</v>
      </c>
      <c r="J43" s="14"/>
      <c r="K43" s="14"/>
      <c r="L43" s="14"/>
      <c r="M43" s="14"/>
      <c r="P43" s="14"/>
    </row>
    <row r="44" spans="1:16" x14ac:dyDescent="0.2">
      <c r="A44" s="7" t="s">
        <v>61</v>
      </c>
      <c r="B44" t="s">
        <v>36</v>
      </c>
      <c r="D44" s="93">
        <f>D43/D33</f>
        <v>0.12915401192803089</v>
      </c>
      <c r="E44" s="35"/>
      <c r="F44" s="35">
        <f>F43/F33</f>
        <v>0.13067999999999999</v>
      </c>
      <c r="G44" s="35"/>
      <c r="H44" s="35"/>
      <c r="I44" s="35">
        <f>I43/I33</f>
        <v>0.15453457446808511</v>
      </c>
      <c r="N44" s="35"/>
      <c r="O44" s="35"/>
      <c r="P44" s="35"/>
    </row>
    <row r="45" spans="1:16" x14ac:dyDescent="0.2">
      <c r="A45" s="7" t="s">
        <v>62</v>
      </c>
      <c r="B45" t="s">
        <v>37</v>
      </c>
      <c r="D45" s="14">
        <f>F4</f>
        <v>8716</v>
      </c>
      <c r="E45" s="14"/>
      <c r="F45" s="14">
        <f>F4</f>
        <v>8716</v>
      </c>
      <c r="G45" s="14"/>
      <c r="H45" s="14"/>
      <c r="I45" s="14">
        <f>F4</f>
        <v>8716</v>
      </c>
      <c r="J45" s="14"/>
      <c r="K45" s="14"/>
      <c r="L45" s="14"/>
      <c r="M45" s="14"/>
      <c r="P45" s="14"/>
    </row>
    <row r="46" spans="1:16" x14ac:dyDescent="0.2">
      <c r="A46" s="7" t="s">
        <v>63</v>
      </c>
      <c r="B46" t="s">
        <v>38</v>
      </c>
      <c r="C46">
        <v>12</v>
      </c>
      <c r="D46" s="14">
        <f>D45*C1</f>
        <v>104592</v>
      </c>
      <c r="E46" s="35"/>
      <c r="F46" s="66">
        <f>F45*C1</f>
        <v>104592</v>
      </c>
      <c r="G46" s="35"/>
      <c r="H46" s="35"/>
      <c r="I46" s="66">
        <f>I45*C1</f>
        <v>104592</v>
      </c>
      <c r="J46" s="14"/>
      <c r="K46" s="14"/>
      <c r="L46" s="14"/>
      <c r="M46" s="14"/>
      <c r="N46" s="35"/>
      <c r="O46" s="35"/>
      <c r="P46" s="35"/>
    </row>
    <row r="47" spans="1:16" x14ac:dyDescent="0.2">
      <c r="A47" s="7" t="s">
        <v>64</v>
      </c>
      <c r="B47" t="s">
        <v>9</v>
      </c>
      <c r="D47" s="34">
        <f>D46-D43</f>
        <v>-75798.700000000012</v>
      </c>
      <c r="F47" s="14">
        <f>F46-F43</f>
        <v>-91428</v>
      </c>
      <c r="I47" s="14">
        <f>I46-I43</f>
        <v>3</v>
      </c>
    </row>
    <row r="48" spans="1:16" x14ac:dyDescent="0.2">
      <c r="D48" s="14"/>
      <c r="E48" s="14"/>
      <c r="F48" s="14"/>
      <c r="G48" s="14"/>
      <c r="H48" s="14"/>
      <c r="I48" s="14"/>
      <c r="J48" s="14"/>
      <c r="K48" s="106"/>
      <c r="L48" s="106"/>
      <c r="M48" s="105"/>
      <c r="N48" s="107"/>
      <c r="O48" s="106"/>
      <c r="P48" s="34"/>
    </row>
    <row r="49" spans="1:17" x14ac:dyDescent="0.2">
      <c r="D49" s="14"/>
      <c r="E49" s="14"/>
      <c r="F49" s="14"/>
      <c r="G49" s="14"/>
      <c r="H49" s="14"/>
      <c r="I49" s="14"/>
      <c r="J49" s="14"/>
      <c r="K49" s="106"/>
      <c r="L49" s="106"/>
      <c r="M49" s="105"/>
      <c r="N49" s="107"/>
      <c r="O49" s="106"/>
      <c r="P49" s="34"/>
    </row>
    <row r="50" spans="1:17" x14ac:dyDescent="0.2">
      <c r="D50" s="63">
        <v>0.8</v>
      </c>
      <c r="E50" s="7"/>
      <c r="K50" s="104"/>
      <c r="L50" s="105"/>
      <c r="M50" s="108"/>
      <c r="N50" s="104"/>
      <c r="O50" s="104"/>
      <c r="P50">
        <v>6208</v>
      </c>
      <c r="Q50" s="41" t="s">
        <v>15</v>
      </c>
    </row>
    <row r="51" spans="1:17" x14ac:dyDescent="0.2">
      <c r="D51" s="65" t="s">
        <v>44</v>
      </c>
      <c r="E51" s="50"/>
      <c r="F51" s="65" t="s">
        <v>43</v>
      </c>
      <c r="G51" s="65"/>
      <c r="I51" s="65" t="s">
        <v>22</v>
      </c>
      <c r="K51" s="7"/>
      <c r="M51" s="41"/>
      <c r="N51" s="7"/>
      <c r="O51" s="7"/>
      <c r="Q51" s="41"/>
    </row>
    <row r="52" spans="1:17" x14ac:dyDescent="0.2">
      <c r="A52" s="7" t="s">
        <v>50</v>
      </c>
      <c r="B52" s="16" t="s">
        <v>7</v>
      </c>
      <c r="C52" s="16"/>
      <c r="D52" s="15">
        <v>2000000</v>
      </c>
      <c r="E52" s="15"/>
      <c r="F52" s="15">
        <v>1600000</v>
      </c>
      <c r="G52" s="15"/>
      <c r="H52" s="62"/>
      <c r="I52" s="101">
        <v>1353600</v>
      </c>
      <c r="J52" s="98"/>
      <c r="K52" s="48"/>
      <c r="L52" s="48"/>
      <c r="P52" s="15">
        <v>2000000</v>
      </c>
    </row>
    <row r="53" spans="1:17" x14ac:dyDescent="0.2">
      <c r="A53" s="7" t="s">
        <v>51</v>
      </c>
      <c r="B53" s="17" t="s">
        <v>41</v>
      </c>
      <c r="C53" s="16"/>
      <c r="D53" s="15">
        <f>D52/12</f>
        <v>166666.66666666666</v>
      </c>
      <c r="E53" s="15"/>
      <c r="F53" s="15">
        <f>F52/12</f>
        <v>133333.33333333334</v>
      </c>
      <c r="G53" s="15"/>
      <c r="H53" s="62"/>
      <c r="I53" s="97">
        <f>I52/12</f>
        <v>112800</v>
      </c>
      <c r="J53" s="98"/>
      <c r="K53" s="48"/>
      <c r="L53" s="48"/>
      <c r="P53" s="15">
        <f t="shared" ref="P53" si="3">P52/12</f>
        <v>166666.66666666666</v>
      </c>
    </row>
    <row r="54" spans="1:17" ht="17" x14ac:dyDescent="0.2">
      <c r="A54" s="7" t="s">
        <v>52</v>
      </c>
      <c r="B54" s="17" t="s">
        <v>42</v>
      </c>
      <c r="C54" s="92">
        <v>558684</v>
      </c>
      <c r="D54" s="15">
        <f>D52*D50</f>
        <v>1600000</v>
      </c>
      <c r="E54" s="15"/>
      <c r="F54" s="15">
        <f>F52*D50</f>
        <v>1280000</v>
      </c>
      <c r="G54" s="109" t="s">
        <v>46</v>
      </c>
      <c r="H54" s="62"/>
      <c r="I54" s="97">
        <f>I52*D50</f>
        <v>1082880</v>
      </c>
      <c r="J54" s="98"/>
      <c r="K54" s="48"/>
      <c r="L54" s="48"/>
      <c r="P54" s="15" t="e">
        <f>P52*B54</f>
        <v>#VALUE!</v>
      </c>
    </row>
    <row r="55" spans="1:17" x14ac:dyDescent="0.2">
      <c r="A55" s="7" t="s">
        <v>53</v>
      </c>
      <c r="B55" s="17" t="s">
        <v>14</v>
      </c>
      <c r="C55" s="17"/>
      <c r="D55" s="8">
        <f>D52-D54</f>
        <v>400000</v>
      </c>
      <c r="E55" s="8"/>
      <c r="F55" s="8">
        <f>F52-F54</f>
        <v>320000</v>
      </c>
      <c r="G55" s="8"/>
      <c r="H55" s="48"/>
      <c r="I55" s="8">
        <f>I52-I54</f>
        <v>270720</v>
      </c>
      <c r="J55" s="98"/>
      <c r="K55" s="48"/>
      <c r="L55" s="13"/>
      <c r="P55" s="13" t="e">
        <f>P52-P54</f>
        <v>#VALUE!</v>
      </c>
    </row>
    <row r="56" spans="1:17" x14ac:dyDescent="0.2">
      <c r="A56" s="7" t="s">
        <v>54</v>
      </c>
      <c r="B56" s="16" t="s">
        <v>72</v>
      </c>
      <c r="C56" s="16"/>
      <c r="D56" s="15">
        <f>FLOOR(D55,100)*0.15</f>
        <v>60000</v>
      </c>
      <c r="E56" s="15"/>
      <c r="F56" s="15">
        <f>FLOOR(F55,100)*0.15</f>
        <v>48000</v>
      </c>
      <c r="G56" s="15"/>
      <c r="H56" s="62"/>
      <c r="I56" s="15">
        <f>FLOOR(I55,100)*0.15</f>
        <v>40605</v>
      </c>
      <c r="J56" s="98"/>
      <c r="K56" s="48"/>
      <c r="L56" s="13"/>
      <c r="P56" s="13" t="e">
        <f>P55*0.15</f>
        <v>#VALUE!</v>
      </c>
    </row>
    <row r="57" spans="1:17" x14ac:dyDescent="0.2">
      <c r="A57" s="7" t="s">
        <v>55</v>
      </c>
      <c r="B57" s="16" t="s">
        <v>29</v>
      </c>
      <c r="C57" s="11">
        <v>30840</v>
      </c>
      <c r="D57" s="15">
        <f>D56-C57</f>
        <v>29160</v>
      </c>
      <c r="E57" s="15"/>
      <c r="F57" s="15">
        <f>F56-C57</f>
        <v>17160</v>
      </c>
      <c r="G57" s="15"/>
      <c r="H57" s="62"/>
      <c r="I57" s="97">
        <f>I56-C57</f>
        <v>9765</v>
      </c>
      <c r="J57" s="48"/>
      <c r="K57" s="48"/>
      <c r="L57" s="14"/>
      <c r="P57" s="14" t="e">
        <f>P56-N10</f>
        <v>#VALUE!</v>
      </c>
    </row>
    <row r="58" spans="1:17" x14ac:dyDescent="0.2">
      <c r="A58" s="7" t="s">
        <v>56</v>
      </c>
      <c r="B58" t="s">
        <v>30</v>
      </c>
      <c r="C58" s="12">
        <v>0.55000000000000004</v>
      </c>
      <c r="D58" s="13">
        <f>D55*C58</f>
        <v>220000.00000000003</v>
      </c>
      <c r="E58" s="13"/>
      <c r="F58" s="13">
        <f>F55*C58</f>
        <v>176000</v>
      </c>
      <c r="G58" s="13"/>
      <c r="H58" s="13"/>
      <c r="I58" s="13">
        <f>I55*C58</f>
        <v>148896</v>
      </c>
      <c r="J58" s="54"/>
      <c r="K58" s="13"/>
      <c r="L58" s="13"/>
      <c r="P58" s="13" t="e">
        <f>P55/2</f>
        <v>#VALUE!</v>
      </c>
    </row>
    <row r="59" spans="1:17" x14ac:dyDescent="0.2">
      <c r="A59" s="7" t="s">
        <v>57</v>
      </c>
      <c r="B59" t="s">
        <v>31</v>
      </c>
      <c r="C59" s="12">
        <v>0.5</v>
      </c>
      <c r="D59" s="13">
        <f>D55*C59</f>
        <v>200000</v>
      </c>
      <c r="E59" s="13"/>
      <c r="F59" s="13">
        <f>F55*C59</f>
        <v>160000</v>
      </c>
      <c r="G59" s="13"/>
      <c r="H59" s="13"/>
      <c r="I59" s="13">
        <f>I55*C59</f>
        <v>135360</v>
      </c>
      <c r="J59" s="54"/>
      <c r="K59" s="13"/>
      <c r="L59" s="13"/>
      <c r="P59" s="13"/>
    </row>
    <row r="60" spans="1:17" x14ac:dyDescent="0.2">
      <c r="A60" s="7" t="s">
        <v>58</v>
      </c>
      <c r="B60" t="s">
        <v>39</v>
      </c>
      <c r="C60" s="35">
        <v>0.29199999999999998</v>
      </c>
      <c r="D60" s="37">
        <f>ROUND(D58*C60,1)</f>
        <v>64240</v>
      </c>
      <c r="E60" s="114">
        <f>F58*C60</f>
        <v>51392</v>
      </c>
      <c r="F60" s="37">
        <v>57108</v>
      </c>
      <c r="G60" s="114" t="s">
        <v>32</v>
      </c>
      <c r="H60" s="113">
        <f>I58*C60</f>
        <v>43477.631999999998</v>
      </c>
      <c r="I60" s="37">
        <v>57108</v>
      </c>
      <c r="J60" s="37" t="s">
        <v>32</v>
      </c>
      <c r="K60" s="13"/>
      <c r="L60" s="13"/>
      <c r="P60" s="38" t="e">
        <f>#REF!</f>
        <v>#REF!</v>
      </c>
    </row>
    <row r="61" spans="1:17" x14ac:dyDescent="0.2">
      <c r="A61" s="7" t="s">
        <v>59</v>
      </c>
      <c r="B61" t="s">
        <v>40</v>
      </c>
      <c r="C61" s="35">
        <v>0.13500000000000001</v>
      </c>
      <c r="D61" s="37">
        <v>37716</v>
      </c>
      <c r="E61" s="114">
        <f>F59*C61</f>
        <v>21600</v>
      </c>
      <c r="F61" s="37">
        <v>37716</v>
      </c>
      <c r="G61" s="114" t="s">
        <v>33</v>
      </c>
      <c r="H61" s="113">
        <f>I59*C61</f>
        <v>18273.600000000002</v>
      </c>
      <c r="I61" s="37">
        <v>37716</v>
      </c>
      <c r="J61" s="37" t="s">
        <v>33</v>
      </c>
      <c r="K61" s="13"/>
      <c r="L61" s="13"/>
      <c r="M61" s="14"/>
      <c r="N61" s="14"/>
      <c r="O61" s="14"/>
      <c r="P61" s="49" t="e">
        <f>#REF!</f>
        <v>#REF!</v>
      </c>
    </row>
    <row r="62" spans="1:17" x14ac:dyDescent="0.2">
      <c r="A62" s="7" t="s">
        <v>60</v>
      </c>
      <c r="B62" t="s">
        <v>10</v>
      </c>
      <c r="C62" s="35"/>
      <c r="D62" s="49">
        <f>D57+D60+D61</f>
        <v>131116</v>
      </c>
      <c r="E62" s="37"/>
      <c r="F62" s="49">
        <f>F57+F60+F61</f>
        <v>111984</v>
      </c>
      <c r="G62" s="37"/>
      <c r="H62" s="37"/>
      <c r="I62" s="49">
        <f>I57+I60+I61</f>
        <v>104589</v>
      </c>
      <c r="J62" s="55"/>
      <c r="K62" s="13"/>
      <c r="L62" s="99"/>
      <c r="M62" s="100"/>
      <c r="P62" s="14" t="e">
        <f>#REF!</f>
        <v>#REF!</v>
      </c>
    </row>
    <row r="63" spans="1:17" x14ac:dyDescent="0.2">
      <c r="A63" s="7" t="s">
        <v>61</v>
      </c>
      <c r="B63" t="s">
        <v>36</v>
      </c>
      <c r="C63" s="35"/>
      <c r="D63" s="35">
        <f>D62/D52</f>
        <v>6.5558000000000005E-2</v>
      </c>
      <c r="E63" s="37"/>
      <c r="F63" s="117">
        <f>F62/F52</f>
        <v>6.9989999999999997E-2</v>
      </c>
      <c r="G63" s="37"/>
      <c r="H63" s="37"/>
      <c r="I63" s="35">
        <f>I62/I52</f>
        <v>7.7267287234042553E-2</v>
      </c>
      <c r="J63" s="55"/>
      <c r="K63" s="13"/>
      <c r="L63" s="99"/>
      <c r="M63" s="100"/>
      <c r="P63" s="14"/>
    </row>
    <row r="64" spans="1:17" x14ac:dyDescent="0.2">
      <c r="A64" s="7" t="s">
        <v>62</v>
      </c>
      <c r="B64" t="s">
        <v>37</v>
      </c>
      <c r="D64" s="49">
        <f>F4</f>
        <v>8716</v>
      </c>
      <c r="E64" s="37"/>
      <c r="F64" s="49">
        <f>F4</f>
        <v>8716</v>
      </c>
      <c r="G64" s="37"/>
      <c r="H64" s="37"/>
      <c r="I64" s="49">
        <f>F4</f>
        <v>8716</v>
      </c>
      <c r="J64" s="14"/>
      <c r="K64" s="13"/>
      <c r="L64" s="14"/>
      <c r="P64" s="14" t="e">
        <f>P58*0.292</f>
        <v>#VALUE!</v>
      </c>
    </row>
    <row r="65" spans="1:16" x14ac:dyDescent="0.2">
      <c r="A65" s="7" t="s">
        <v>63</v>
      </c>
      <c r="B65" t="s">
        <v>38</v>
      </c>
      <c r="C65">
        <v>12</v>
      </c>
      <c r="D65" s="66">
        <f>D64*C1</f>
        <v>104592</v>
      </c>
      <c r="E65" s="14"/>
      <c r="F65" s="66">
        <f>F64*C1</f>
        <v>104592</v>
      </c>
      <c r="G65" s="14"/>
      <c r="H65" s="14"/>
      <c r="I65" s="66">
        <f>I64*C1</f>
        <v>104592</v>
      </c>
      <c r="J65" s="56"/>
      <c r="K65" s="14"/>
      <c r="L65" s="14"/>
      <c r="P65" s="14" t="e">
        <f>P57+P61+P64</f>
        <v>#VALUE!</v>
      </c>
    </row>
    <row r="66" spans="1:16" x14ac:dyDescent="0.2">
      <c r="A66" s="7" t="s">
        <v>64</v>
      </c>
      <c r="B66" t="s">
        <v>9</v>
      </c>
      <c r="D66" s="34">
        <f>D65-D62</f>
        <v>-26524</v>
      </c>
      <c r="E66" s="14"/>
      <c r="F66" s="34">
        <f>F65-F62</f>
        <v>-7392</v>
      </c>
      <c r="G66" s="14"/>
      <c r="H66" s="14"/>
      <c r="I66" s="34">
        <f>I65-I62</f>
        <v>3</v>
      </c>
      <c r="J66" s="56"/>
      <c r="K66" s="14"/>
      <c r="L66" s="14"/>
      <c r="M66" s="14"/>
      <c r="N66" s="14"/>
      <c r="O66" s="14"/>
      <c r="P66" s="14" t="e">
        <f>P65-#REF!</f>
        <v>#VALUE!</v>
      </c>
    </row>
    <row r="67" spans="1:16" x14ac:dyDescent="0.2">
      <c r="D67" s="34"/>
      <c r="E67" s="14"/>
      <c r="F67" s="34"/>
      <c r="G67" s="14"/>
      <c r="H67" s="14"/>
      <c r="J67" s="58"/>
      <c r="K67" s="43"/>
      <c r="L67" s="14"/>
      <c r="M67" s="14"/>
      <c r="N67" s="14"/>
      <c r="O67" s="14"/>
      <c r="P67" s="14"/>
    </row>
    <row r="68" spans="1:16" x14ac:dyDescent="0.2">
      <c r="D68" s="35"/>
      <c r="E68" s="35"/>
    </row>
    <row r="69" spans="1:16" s="42" customFormat="1" x14ac:dyDescent="0.2">
      <c r="A69" s="64"/>
    </row>
    <row r="72" spans="1:16" x14ac:dyDescent="0.2">
      <c r="D72" t="s">
        <v>65</v>
      </c>
      <c r="E72" t="s">
        <v>66</v>
      </c>
    </row>
    <row r="73" spans="1:16" x14ac:dyDescent="0.2">
      <c r="B73" s="12"/>
      <c r="C73" s="12">
        <v>0.4</v>
      </c>
      <c r="D73" s="13">
        <f>I14</f>
        <v>451250</v>
      </c>
      <c r="E73" s="13">
        <f>F28</f>
        <v>-91428</v>
      </c>
    </row>
    <row r="74" spans="1:16" x14ac:dyDescent="0.2">
      <c r="B74" s="12"/>
      <c r="C74" s="12">
        <v>0.6</v>
      </c>
      <c r="D74" s="13">
        <f>I33</f>
        <v>676800</v>
      </c>
      <c r="E74" s="13">
        <f>F47</f>
        <v>-91428</v>
      </c>
    </row>
    <row r="75" spans="1:16" x14ac:dyDescent="0.2">
      <c r="B75" s="12"/>
      <c r="C75" s="12">
        <v>0.8</v>
      </c>
      <c r="D75" s="13">
        <f>I52</f>
        <v>1353600</v>
      </c>
      <c r="E75" s="13">
        <f>D66</f>
        <v>-26524</v>
      </c>
    </row>
    <row r="120" spans="2:16" ht="29" customHeight="1" x14ac:dyDescent="0.2">
      <c r="B120" s="90">
        <v>0.5</v>
      </c>
      <c r="C120" s="77"/>
      <c r="D120" s="8" t="s">
        <v>45</v>
      </c>
      <c r="E120" s="91" t="s">
        <v>26</v>
      </c>
      <c r="F120" s="8"/>
      <c r="G120" s="8"/>
      <c r="H120" s="8"/>
      <c r="I120" s="8"/>
      <c r="J120" s="8"/>
      <c r="K120" s="8"/>
      <c r="L120" s="8"/>
      <c r="M120" s="8"/>
      <c r="N120" s="8"/>
      <c r="O120" s="46"/>
      <c r="P120" s="20"/>
    </row>
    <row r="121" spans="2:16" ht="16" customHeight="1" x14ac:dyDescent="0.2">
      <c r="B121" s="19" t="s">
        <v>21</v>
      </c>
      <c r="C121" s="83">
        <v>0.5</v>
      </c>
      <c r="D121" s="51">
        <v>279342</v>
      </c>
      <c r="E121" s="91" t="s">
        <v>28</v>
      </c>
      <c r="F121" s="8"/>
      <c r="G121" s="8"/>
      <c r="H121" s="8"/>
      <c r="I121" s="8">
        <v>319200</v>
      </c>
      <c r="J121" s="1" t="s">
        <v>24</v>
      </c>
      <c r="K121" s="8"/>
      <c r="L121" s="8"/>
      <c r="M121" s="8">
        <v>470400</v>
      </c>
      <c r="N121" s="8" t="s">
        <v>24</v>
      </c>
      <c r="O121" s="46"/>
      <c r="P121" s="20"/>
    </row>
    <row r="122" spans="2:16" ht="17" x14ac:dyDescent="0.2">
      <c r="B122" s="4" t="s">
        <v>6</v>
      </c>
      <c r="C122" s="78"/>
      <c r="D122" s="85">
        <f>D121*2</f>
        <v>558684</v>
      </c>
      <c r="E122" s="91" t="s">
        <v>26</v>
      </c>
      <c r="F122" s="1">
        <v>3143</v>
      </c>
      <c r="G122" s="1">
        <f>F122*12</f>
        <v>37716</v>
      </c>
      <c r="H122" s="1"/>
      <c r="I122" s="85">
        <f>(I121/C121)*100%</f>
        <v>638400</v>
      </c>
      <c r="J122" s="10"/>
      <c r="K122" s="1">
        <f>I121*0.135/12</f>
        <v>3591</v>
      </c>
      <c r="L122" s="1">
        <f>K122*12</f>
        <v>43092</v>
      </c>
      <c r="M122" s="8">
        <f>M121*2</f>
        <v>940800</v>
      </c>
      <c r="N122" s="1">
        <f>M121*0.135/12</f>
        <v>5292.0000000000009</v>
      </c>
      <c r="O122" s="47"/>
      <c r="P122" s="21">
        <f>N122*12</f>
        <v>63504.000000000015</v>
      </c>
    </row>
    <row r="123" spans="2:16" ht="17" x14ac:dyDescent="0.2">
      <c r="B123" s="52" t="s">
        <v>17</v>
      </c>
      <c r="C123" s="79"/>
      <c r="D123" s="60">
        <f>CEILING(D121*0.135,1)</f>
        <v>37712</v>
      </c>
      <c r="E123" s="60"/>
      <c r="F123" s="1"/>
      <c r="G123" s="1"/>
      <c r="H123" s="1"/>
      <c r="I123" s="10"/>
      <c r="J123" s="10"/>
      <c r="K123" s="1"/>
      <c r="L123" s="1"/>
      <c r="M123" s="8"/>
      <c r="N123" s="1"/>
      <c r="O123" s="47"/>
      <c r="P123" s="21"/>
    </row>
    <row r="124" spans="2:16" ht="17" x14ac:dyDescent="0.2">
      <c r="B124" s="4" t="s">
        <v>18</v>
      </c>
      <c r="C124" s="78"/>
      <c r="D124" s="8">
        <f>CEILING(D123/12,1)</f>
        <v>3143</v>
      </c>
      <c r="E124" s="8"/>
      <c r="F124" s="1"/>
      <c r="G124" s="1"/>
      <c r="H124" s="1"/>
      <c r="I124" s="10"/>
      <c r="J124" s="10"/>
      <c r="K124" s="1"/>
      <c r="L124" s="1"/>
      <c r="M124" s="8"/>
      <c r="N124" s="1"/>
      <c r="O124" s="47"/>
      <c r="P124" s="21"/>
    </row>
    <row r="125" spans="2:16" x14ac:dyDescent="0.2">
      <c r="B125" s="89">
        <v>0.35</v>
      </c>
      <c r="C125" s="78"/>
      <c r="D125" s="9">
        <f>D124*12</f>
        <v>37716</v>
      </c>
      <c r="E125" s="9"/>
      <c r="F125" s="1"/>
      <c r="G125" s="1"/>
      <c r="H125" s="1"/>
      <c r="I125" s="10"/>
      <c r="J125" s="10"/>
      <c r="K125" s="1"/>
      <c r="L125" s="1"/>
      <c r="M125" s="8"/>
      <c r="N125" s="1"/>
      <c r="O125" s="47"/>
      <c r="P125" s="21"/>
    </row>
    <row r="126" spans="2:16" ht="17" x14ac:dyDescent="0.2">
      <c r="B126" s="4" t="s">
        <v>23</v>
      </c>
      <c r="C126" s="83">
        <v>0.55000000000000004</v>
      </c>
      <c r="D126" s="51">
        <f>CEILING(D127*0.35,1)</f>
        <v>195540</v>
      </c>
      <c r="E126" s="91" t="s">
        <v>27</v>
      </c>
      <c r="F126" s="1"/>
      <c r="G126" s="1"/>
      <c r="H126" s="1"/>
      <c r="I126" s="8">
        <v>26600</v>
      </c>
      <c r="J126" s="8"/>
      <c r="K126" s="1"/>
      <c r="L126" s="1"/>
      <c r="M126" s="1">
        <v>39000</v>
      </c>
      <c r="N126" s="1"/>
      <c r="O126" s="47"/>
      <c r="P126" s="20"/>
    </row>
    <row r="127" spans="2:16" ht="17" x14ac:dyDescent="0.2">
      <c r="B127" s="6" t="s">
        <v>25</v>
      </c>
      <c r="C127" s="80"/>
      <c r="D127" s="85">
        <f>D122</f>
        <v>558684</v>
      </c>
      <c r="E127" s="91" t="s">
        <v>26</v>
      </c>
      <c r="F127" s="1" t="e">
        <f>CEILING(#REF!*1.15,1)</f>
        <v>#REF!</v>
      </c>
      <c r="G127" s="1" t="e">
        <f>F127*12</f>
        <v>#REF!</v>
      </c>
      <c r="H127" s="1"/>
      <c r="I127" s="85">
        <f>(I126*12)*2</f>
        <v>638400</v>
      </c>
      <c r="J127" s="9"/>
      <c r="K127" s="1">
        <f>I126*0.292</f>
        <v>7767.2</v>
      </c>
      <c r="L127" s="1">
        <f>K127*12</f>
        <v>93206.399999999994</v>
      </c>
      <c r="M127" s="9">
        <f>(M126*12)*2</f>
        <v>936000</v>
      </c>
      <c r="N127" s="1">
        <f>M126*0.292</f>
        <v>11388</v>
      </c>
      <c r="O127" s="47"/>
      <c r="P127" s="21">
        <f>N127*12</f>
        <v>136656</v>
      </c>
    </row>
    <row r="128" spans="2:16" ht="17" x14ac:dyDescent="0.2">
      <c r="B128" s="53" t="s">
        <v>19</v>
      </c>
      <c r="C128" s="81"/>
      <c r="D128" s="60">
        <f>D126*0.292</f>
        <v>57097.679999999993</v>
      </c>
      <c r="E128" s="60"/>
      <c r="F128" s="1"/>
      <c r="G128" s="1"/>
      <c r="H128" s="1"/>
      <c r="I128" s="9"/>
      <c r="J128" s="9"/>
      <c r="K128" s="1"/>
      <c r="L128" s="1"/>
      <c r="M128" s="9"/>
      <c r="N128" s="1"/>
      <c r="O128" s="47"/>
      <c r="P128" s="21"/>
    </row>
    <row r="129" spans="2:16" ht="17" x14ac:dyDescent="0.2">
      <c r="B129" s="6" t="s">
        <v>20</v>
      </c>
      <c r="C129" s="80"/>
      <c r="D129" s="8">
        <f>CEILING(D128/12,1)</f>
        <v>4759</v>
      </c>
      <c r="E129" s="8"/>
      <c r="F129" s="1"/>
      <c r="G129" s="1"/>
      <c r="H129" s="1"/>
      <c r="I129" s="9"/>
      <c r="J129" s="9"/>
      <c r="K129" s="1"/>
      <c r="L129" s="1"/>
      <c r="M129" s="9"/>
      <c r="N129" s="1"/>
      <c r="O129" s="47"/>
      <c r="P129" s="21"/>
    </row>
    <row r="130" spans="2:16" x14ac:dyDescent="0.2">
      <c r="B130" s="6"/>
      <c r="C130" s="80"/>
      <c r="D130" s="9">
        <f>D129*12</f>
        <v>57108</v>
      </c>
      <c r="E130" s="9"/>
      <c r="F130" s="1"/>
      <c r="G130" s="1"/>
      <c r="H130" s="1"/>
      <c r="I130" s="9"/>
      <c r="J130" s="9"/>
      <c r="K130" s="1"/>
      <c r="L130" s="1"/>
      <c r="M130" s="9"/>
      <c r="N130" s="1"/>
      <c r="O130" s="47"/>
      <c r="P130" s="21"/>
    </row>
    <row r="131" spans="2:16" ht="29" customHeight="1" x14ac:dyDescent="0.2">
      <c r="B131" s="4" t="s">
        <v>13</v>
      </c>
      <c r="C131" s="78"/>
      <c r="D131" s="8"/>
      <c r="E131" s="8"/>
      <c r="F131" s="1">
        <v>100</v>
      </c>
      <c r="G131" s="1">
        <f>F131*12</f>
        <v>1200</v>
      </c>
      <c r="H131" s="1"/>
      <c r="I131" s="1"/>
      <c r="J131" s="1"/>
      <c r="K131" s="1">
        <v>4963</v>
      </c>
      <c r="L131" s="8">
        <f>K131*12</f>
        <v>59556</v>
      </c>
      <c r="M131" s="1"/>
      <c r="N131" s="1">
        <v>9320</v>
      </c>
      <c r="O131" s="47"/>
      <c r="P131" s="21">
        <f>N131*12</f>
        <v>111840</v>
      </c>
    </row>
    <row r="132" spans="2:16" ht="18" thickBot="1" x14ac:dyDescent="0.25">
      <c r="B132" s="22" t="s">
        <v>8</v>
      </c>
      <c r="C132" s="82"/>
      <c r="D132" s="23"/>
      <c r="E132" s="23"/>
      <c r="F132" s="84" t="e">
        <f>SUM(F121:F131)</f>
        <v>#REF!</v>
      </c>
      <c r="G132" s="84" t="e">
        <f>SUM(G122:G131)</f>
        <v>#REF!</v>
      </c>
      <c r="H132" s="61"/>
      <c r="I132" s="23"/>
      <c r="J132" s="23"/>
      <c r="K132" s="24">
        <f>K116*12</f>
        <v>0</v>
      </c>
      <c r="L132" s="25">
        <f>SUM(L122:L131)</f>
        <v>195854.4</v>
      </c>
      <c r="M132" s="23"/>
      <c r="N132" s="26">
        <f>N116*12</f>
        <v>0</v>
      </c>
      <c r="O132" s="26"/>
      <c r="P132" s="27">
        <f>SUM(P122:P131)</f>
        <v>312000</v>
      </c>
    </row>
  </sheetData>
  <mergeCells count="2">
    <mergeCell ref="D3:G3"/>
    <mergeCell ref="I3:L3"/>
  </mergeCells>
  <phoneticPr fontId="16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9863-547E-D84E-B130-9C51AC11E299}">
  <dimension ref="A1:R87"/>
  <sheetViews>
    <sheetView zoomScale="110" zoomScaleNormal="110" workbookViewId="0">
      <selection activeCell="G27" sqref="G27"/>
    </sheetView>
  </sheetViews>
  <sheetFormatPr baseColWidth="10" defaultRowHeight="16" x14ac:dyDescent="0.2"/>
  <cols>
    <col min="1" max="1" width="5.6640625" style="7" customWidth="1"/>
    <col min="2" max="2" width="35.6640625" bestFit="1" customWidth="1"/>
    <col min="3" max="3" width="12.83203125" customWidth="1"/>
    <col min="4" max="4" width="33.1640625" customWidth="1"/>
    <col min="5" max="5" width="27.6640625" customWidth="1"/>
    <col min="6" max="6" width="16.1640625" customWidth="1"/>
    <col min="7" max="7" width="20.6640625" customWidth="1"/>
    <col min="8" max="8" width="13.1640625" customWidth="1"/>
    <col min="9" max="10" width="21.83203125" customWidth="1"/>
    <col min="11" max="11" width="22.6640625" customWidth="1"/>
    <col min="12" max="12" width="13.83203125" customWidth="1"/>
    <col min="13" max="13" width="23.1640625" customWidth="1"/>
    <col min="14" max="15" width="24" customWidth="1"/>
    <col min="16" max="16" width="14" customWidth="1"/>
  </cols>
  <sheetData>
    <row r="1" spans="1:16" ht="17" thickBot="1" x14ac:dyDescent="0.25">
      <c r="C1">
        <v>12</v>
      </c>
      <c r="D1">
        <v>46557</v>
      </c>
    </row>
    <row r="2" spans="1:16" ht="17" thickBot="1" x14ac:dyDescent="0.25">
      <c r="B2" s="2" t="s">
        <v>1</v>
      </c>
      <c r="C2" s="73"/>
      <c r="D2" s="3"/>
      <c r="E2" s="3"/>
      <c r="F2" s="3">
        <v>2025</v>
      </c>
      <c r="G2" s="3"/>
      <c r="H2" s="3"/>
      <c r="I2" s="3"/>
      <c r="J2" s="3"/>
      <c r="K2" s="3"/>
      <c r="L2" s="3"/>
      <c r="M2" s="3"/>
      <c r="N2" s="3"/>
      <c r="O2" s="18"/>
    </row>
    <row r="3" spans="1:16" ht="17" thickBot="1" x14ac:dyDescent="0.25">
      <c r="B3" s="28" t="s">
        <v>2</v>
      </c>
      <c r="C3" s="74"/>
      <c r="D3" s="128" t="s">
        <v>4</v>
      </c>
      <c r="E3" s="128"/>
      <c r="F3" s="128"/>
      <c r="G3" s="128"/>
      <c r="H3" s="59"/>
      <c r="I3" s="129" t="s">
        <v>4</v>
      </c>
      <c r="J3" s="129"/>
      <c r="K3" s="129"/>
      <c r="L3" s="129"/>
      <c r="M3" s="36" t="s">
        <v>5</v>
      </c>
      <c r="N3" s="36"/>
      <c r="O3" s="44"/>
      <c r="P3" s="5"/>
    </row>
    <row r="4" spans="1:16" ht="29" customHeight="1" thickBot="1" x14ac:dyDescent="0.25">
      <c r="B4" s="29" t="s">
        <v>0</v>
      </c>
      <c r="C4" s="75"/>
      <c r="D4" s="30"/>
      <c r="E4" s="30"/>
      <c r="F4" s="86">
        <v>16745</v>
      </c>
      <c r="G4" s="31"/>
      <c r="H4" s="31"/>
      <c r="I4" s="30"/>
      <c r="J4" s="30"/>
      <c r="K4" s="33">
        <f>16745</f>
        <v>16745</v>
      </c>
      <c r="L4" s="31" t="s">
        <v>11</v>
      </c>
      <c r="M4" s="30"/>
      <c r="N4" s="33">
        <v>27139</v>
      </c>
      <c r="O4" s="45"/>
      <c r="P4" s="32" t="s">
        <v>11</v>
      </c>
    </row>
    <row r="5" spans="1:16" ht="29" customHeight="1" x14ac:dyDescent="0.2">
      <c r="B5" s="67"/>
      <c r="C5" s="76"/>
      <c r="D5" s="68">
        <v>558684</v>
      </c>
      <c r="E5" s="91" t="s">
        <v>26</v>
      </c>
      <c r="F5" s="66"/>
      <c r="G5" s="69"/>
      <c r="H5" s="69"/>
      <c r="I5" s="68"/>
      <c r="J5" s="68"/>
      <c r="K5" s="70"/>
      <c r="L5" s="69"/>
      <c r="M5" s="68"/>
      <c r="N5" s="70"/>
      <c r="O5" s="71"/>
      <c r="P5" s="72"/>
    </row>
    <row r="6" spans="1:16" x14ac:dyDescent="0.2">
      <c r="N6" s="8"/>
      <c r="O6" s="48"/>
    </row>
    <row r="8" spans="1:16" x14ac:dyDescent="0.2">
      <c r="B8" t="s">
        <v>68</v>
      </c>
      <c r="D8" s="63">
        <v>0.6</v>
      </c>
      <c r="E8" s="116" t="s">
        <v>69</v>
      </c>
      <c r="F8" s="88"/>
      <c r="G8" s="87"/>
    </row>
    <row r="9" spans="1:16" x14ac:dyDescent="0.2">
      <c r="D9" s="65" t="s">
        <v>44</v>
      </c>
      <c r="E9" s="50"/>
      <c r="F9" s="65" t="s">
        <v>43</v>
      </c>
      <c r="G9" s="65"/>
      <c r="I9" s="65" t="s">
        <v>22</v>
      </c>
    </row>
    <row r="10" spans="1:16" x14ac:dyDescent="0.2">
      <c r="A10" s="7" t="s">
        <v>50</v>
      </c>
      <c r="B10" s="16" t="s">
        <v>7</v>
      </c>
      <c r="C10" s="16"/>
      <c r="D10" s="15">
        <f>(D5/60%)*100%</f>
        <v>931140</v>
      </c>
      <c r="E10" s="15"/>
      <c r="F10" s="15">
        <v>1500000</v>
      </c>
      <c r="G10" s="15"/>
      <c r="H10" s="15"/>
      <c r="I10" s="39">
        <v>676800</v>
      </c>
    </row>
    <row r="11" spans="1:16" x14ac:dyDescent="0.2">
      <c r="A11" s="7" t="s">
        <v>51</v>
      </c>
      <c r="B11" s="17" t="s">
        <v>41</v>
      </c>
      <c r="C11" s="16"/>
      <c r="D11" s="15">
        <f>D10/12</f>
        <v>77595</v>
      </c>
      <c r="E11" s="15"/>
      <c r="F11" s="15">
        <f>F10/12</f>
        <v>125000</v>
      </c>
      <c r="G11" s="15"/>
      <c r="H11" s="15">
        <f t="shared" ref="H11" si="0">H10/12</f>
        <v>0</v>
      </c>
      <c r="I11" s="15">
        <f>I10/12</f>
        <v>56400</v>
      </c>
    </row>
    <row r="12" spans="1:16" x14ac:dyDescent="0.2">
      <c r="A12" s="7" t="s">
        <v>52</v>
      </c>
      <c r="B12" s="17" t="s">
        <v>42</v>
      </c>
      <c r="C12" s="17"/>
      <c r="D12" s="15">
        <f>D10*D8</f>
        <v>558684</v>
      </c>
      <c r="E12" s="102">
        <v>0.4</v>
      </c>
      <c r="F12" s="15">
        <f>F10*D8</f>
        <v>900000</v>
      </c>
      <c r="G12" s="15"/>
      <c r="H12" s="15"/>
      <c r="I12" s="15">
        <f>I10*D8</f>
        <v>406080</v>
      </c>
    </row>
    <row r="13" spans="1:16" ht="17" x14ac:dyDescent="0.2">
      <c r="A13" s="7" t="s">
        <v>53</v>
      </c>
      <c r="B13" s="17" t="s">
        <v>14</v>
      </c>
      <c r="C13" s="17"/>
      <c r="D13" s="8">
        <f>D10-D12</f>
        <v>372456</v>
      </c>
      <c r="E13" s="91" t="s">
        <v>26</v>
      </c>
      <c r="F13" s="8">
        <f>F10-F12</f>
        <v>600000</v>
      </c>
      <c r="G13" s="109" t="s">
        <v>47</v>
      </c>
      <c r="H13" s="8"/>
      <c r="I13" s="8">
        <f>I10-I12</f>
        <v>270720</v>
      </c>
    </row>
    <row r="14" spans="1:16" ht="17" customHeight="1" x14ac:dyDescent="0.2">
      <c r="A14" s="7" t="s">
        <v>54</v>
      </c>
      <c r="B14" s="16" t="s">
        <v>72</v>
      </c>
      <c r="C14" s="16"/>
      <c r="D14" s="15">
        <f>FLOOR(D13,100)*0.15</f>
        <v>55860</v>
      </c>
      <c r="E14" s="15"/>
      <c r="F14" s="15">
        <f>FLOOR(F13,100)*0.15</f>
        <v>90000</v>
      </c>
      <c r="G14" s="110"/>
      <c r="H14" s="15"/>
      <c r="I14" s="15">
        <f>FLOOR(I13,100)*0.15</f>
        <v>40605</v>
      </c>
      <c r="J14" s="103"/>
    </row>
    <row r="15" spans="1:16" x14ac:dyDescent="0.2">
      <c r="A15" s="7" t="s">
        <v>55</v>
      </c>
      <c r="B15" s="16" t="s">
        <v>29</v>
      </c>
      <c r="C15" s="11">
        <v>30840</v>
      </c>
      <c r="D15" s="85">
        <f>D14-C15</f>
        <v>25020</v>
      </c>
      <c r="E15" s="15"/>
      <c r="F15" s="85">
        <f>F14-C15</f>
        <v>59160</v>
      </c>
      <c r="G15" s="111"/>
      <c r="H15" s="40"/>
      <c r="I15" s="85">
        <f>I14-C15</f>
        <v>9765</v>
      </c>
      <c r="J15" s="103"/>
    </row>
    <row r="16" spans="1:16" ht="17" x14ac:dyDescent="0.2">
      <c r="A16" s="7" t="s">
        <v>56</v>
      </c>
      <c r="B16" t="s">
        <v>30</v>
      </c>
      <c r="C16" s="12">
        <v>0.55000000000000004</v>
      </c>
      <c r="D16" s="13">
        <f>D13*C16</f>
        <v>204850.80000000002</v>
      </c>
      <c r="E16" s="91" t="s">
        <v>49</v>
      </c>
      <c r="F16" s="13">
        <f>F13*C16</f>
        <v>330000</v>
      </c>
      <c r="G16" s="112"/>
      <c r="H16" s="13"/>
      <c r="I16" s="13">
        <f>I13*C16</f>
        <v>148896</v>
      </c>
      <c r="J16" s="54"/>
    </row>
    <row r="17" spans="1:18" ht="18" customHeight="1" x14ac:dyDescent="0.2">
      <c r="A17" s="7" t="s">
        <v>57</v>
      </c>
      <c r="B17" t="s">
        <v>31</v>
      </c>
      <c r="C17" s="12">
        <v>0.5</v>
      </c>
      <c r="D17" s="13">
        <f>D13*C17</f>
        <v>186228</v>
      </c>
      <c r="E17" s="91" t="s">
        <v>67</v>
      </c>
      <c r="F17" s="13">
        <f>F13*C17</f>
        <v>300000</v>
      </c>
      <c r="G17" s="112"/>
      <c r="H17" s="13"/>
      <c r="I17" s="13">
        <f>I13*C17</f>
        <v>135360</v>
      </c>
      <c r="J17" s="54"/>
    </row>
    <row r="18" spans="1:18" x14ac:dyDescent="0.2">
      <c r="A18" s="7" t="s">
        <v>58</v>
      </c>
      <c r="B18" t="s">
        <v>34</v>
      </c>
      <c r="C18" s="35">
        <v>0.29199999999999998</v>
      </c>
      <c r="D18" s="37">
        <f>ROUND(D16*C18,1)</f>
        <v>59816.4</v>
      </c>
      <c r="E18" s="114" t="s">
        <v>32</v>
      </c>
      <c r="F18" s="37">
        <f>ROUND(F16*C18,1)</f>
        <v>96360</v>
      </c>
      <c r="G18" s="114" t="s">
        <v>32</v>
      </c>
      <c r="H18" s="95"/>
      <c r="I18" s="37">
        <v>57108</v>
      </c>
      <c r="J18" s="54"/>
      <c r="R18" s="13"/>
    </row>
    <row r="19" spans="1:18" x14ac:dyDescent="0.2">
      <c r="A19" s="7" t="s">
        <v>59</v>
      </c>
      <c r="B19" t="s">
        <v>35</v>
      </c>
      <c r="C19" s="35">
        <v>0.13500000000000001</v>
      </c>
      <c r="D19" s="37">
        <f>(ROUND(D17*C19,1))+5</f>
        <v>25145.8</v>
      </c>
      <c r="E19" s="114" t="s">
        <v>33</v>
      </c>
      <c r="F19" s="37">
        <f>ROUND(F17*C19,1)</f>
        <v>40500</v>
      </c>
      <c r="G19" s="114" t="s">
        <v>33</v>
      </c>
      <c r="H19" s="95"/>
      <c r="I19" s="37">
        <v>37716</v>
      </c>
      <c r="J19" s="55"/>
      <c r="R19" s="12"/>
    </row>
    <row r="20" spans="1:18" x14ac:dyDescent="0.2">
      <c r="A20" s="7" t="s">
        <v>60</v>
      </c>
      <c r="B20" t="s">
        <v>10</v>
      </c>
      <c r="D20" s="14">
        <f>D15+D18+D19</f>
        <v>109982.2</v>
      </c>
      <c r="E20" s="14"/>
      <c r="F20" s="14">
        <f>F15+F18+F19</f>
        <v>196020</v>
      </c>
      <c r="G20" s="115"/>
      <c r="H20" s="14"/>
      <c r="I20" s="14">
        <f>I15+I18+I19</f>
        <v>104589</v>
      </c>
      <c r="J20" s="56"/>
    </row>
    <row r="21" spans="1:18" x14ac:dyDescent="0.2">
      <c r="A21" s="7" t="s">
        <v>61</v>
      </c>
      <c r="B21" t="s">
        <v>36</v>
      </c>
      <c r="D21" s="35">
        <f>D20/D10</f>
        <v>0.11811564319006808</v>
      </c>
      <c r="E21" s="12"/>
      <c r="F21" s="35">
        <f>F20/F10</f>
        <v>0.13067999999999999</v>
      </c>
      <c r="G21" s="12"/>
      <c r="H21" s="12"/>
      <c r="I21" s="35">
        <f>I20/I10</f>
        <v>0.15453457446808511</v>
      </c>
      <c r="J21" s="57"/>
    </row>
    <row r="22" spans="1:18" x14ac:dyDescent="0.2">
      <c r="A22" s="7" t="s">
        <v>62</v>
      </c>
      <c r="B22" t="s">
        <v>37</v>
      </c>
      <c r="D22" s="13">
        <f>F4</f>
        <v>16745</v>
      </c>
      <c r="E22" s="13"/>
      <c r="F22" s="13">
        <f>F4</f>
        <v>16745</v>
      </c>
      <c r="G22" s="13"/>
      <c r="H22" s="13"/>
      <c r="I22" s="13">
        <f>F4</f>
        <v>16745</v>
      </c>
      <c r="J22" s="54"/>
    </row>
    <row r="23" spans="1:18" x14ac:dyDescent="0.2">
      <c r="A23" s="7" t="s">
        <v>63</v>
      </c>
      <c r="B23" t="s">
        <v>38</v>
      </c>
      <c r="C23">
        <v>12</v>
      </c>
      <c r="D23" s="14">
        <v>104589</v>
      </c>
      <c r="E23" s="13"/>
      <c r="F23" s="14">
        <v>104589</v>
      </c>
      <c r="G23" s="13"/>
      <c r="H23" s="13"/>
      <c r="I23" s="14">
        <v>104589</v>
      </c>
      <c r="J23" s="54"/>
    </row>
    <row r="24" spans="1:18" x14ac:dyDescent="0.2">
      <c r="A24" s="7" t="s">
        <v>64</v>
      </c>
      <c r="B24" t="s">
        <v>9</v>
      </c>
      <c r="D24" s="34">
        <f>D23-D20</f>
        <v>-5393.1999999999971</v>
      </c>
      <c r="E24" s="14"/>
      <c r="F24" s="34">
        <f>F23-F20</f>
        <v>-91431</v>
      </c>
      <c r="G24" s="14"/>
      <c r="H24" s="14"/>
      <c r="I24" s="34">
        <f>I23-I20</f>
        <v>0</v>
      </c>
      <c r="J24" s="56"/>
    </row>
    <row r="25" spans="1:18" x14ac:dyDescent="0.2">
      <c r="E25" s="14"/>
      <c r="F25" s="14"/>
      <c r="G25" s="14"/>
      <c r="H25" s="14"/>
      <c r="I25" s="14"/>
      <c r="J25" s="14"/>
    </row>
    <row r="26" spans="1:18" x14ac:dyDescent="0.2">
      <c r="E26" s="14"/>
      <c r="F26" s="14"/>
      <c r="G26" s="14"/>
      <c r="H26" s="14"/>
      <c r="I26" s="14"/>
      <c r="J26" s="14"/>
    </row>
    <row r="28" spans="1:18" x14ac:dyDescent="0.2">
      <c r="D28" s="63">
        <v>0.6</v>
      </c>
      <c r="E28" s="116" t="s">
        <v>70</v>
      </c>
    </row>
    <row r="29" spans="1:18" x14ac:dyDescent="0.2">
      <c r="D29" s="65" t="s">
        <v>44</v>
      </c>
      <c r="E29" s="50"/>
      <c r="F29" s="65" t="s">
        <v>43</v>
      </c>
      <c r="G29" s="65"/>
      <c r="I29" s="65" t="s">
        <v>22</v>
      </c>
    </row>
    <row r="30" spans="1:18" x14ac:dyDescent="0.2">
      <c r="A30" s="7" t="s">
        <v>50</v>
      </c>
      <c r="B30" s="16" t="s">
        <v>7</v>
      </c>
      <c r="C30" s="16"/>
      <c r="D30" s="15">
        <v>1396710</v>
      </c>
      <c r="E30" s="15"/>
      <c r="F30" s="15">
        <v>2000000</v>
      </c>
      <c r="G30" s="14"/>
      <c r="H30" s="14"/>
      <c r="I30" s="39">
        <v>1532545</v>
      </c>
      <c r="J30" s="14"/>
      <c r="K30" s="14"/>
      <c r="L30" s="14"/>
      <c r="M30" s="14"/>
    </row>
    <row r="31" spans="1:18" x14ac:dyDescent="0.2">
      <c r="A31" s="7" t="s">
        <v>51</v>
      </c>
      <c r="B31" s="16" t="s">
        <v>16</v>
      </c>
      <c r="C31" s="16"/>
      <c r="D31" s="15">
        <f>D30/12</f>
        <v>116392.5</v>
      </c>
      <c r="E31" s="15"/>
      <c r="F31" s="15">
        <f t="shared" ref="F31" si="1">F30/12</f>
        <v>166666.66666666666</v>
      </c>
      <c r="I31" s="15">
        <f>I30/12</f>
        <v>127712.08333333333</v>
      </c>
      <c r="J31" s="14"/>
      <c r="K31" s="14"/>
      <c r="L31" s="14"/>
      <c r="M31" s="14"/>
    </row>
    <row r="32" spans="1:18" ht="17" x14ac:dyDescent="0.2">
      <c r="A32" s="7" t="s">
        <v>52</v>
      </c>
      <c r="B32" s="17">
        <v>0.6</v>
      </c>
      <c r="C32" s="92">
        <v>558684</v>
      </c>
      <c r="D32" s="15">
        <f>D30*B32</f>
        <v>838026</v>
      </c>
      <c r="E32" s="15"/>
      <c r="F32" s="15">
        <f>F30*B32</f>
        <v>1200000</v>
      </c>
      <c r="G32" s="109" t="s">
        <v>48</v>
      </c>
      <c r="H32" s="14"/>
      <c r="I32" s="15">
        <f>I30*D28</f>
        <v>919527</v>
      </c>
    </row>
    <row r="33" spans="1:16" x14ac:dyDescent="0.2">
      <c r="A33" s="7" t="s">
        <v>53</v>
      </c>
      <c r="B33" s="17" t="s">
        <v>14</v>
      </c>
      <c r="C33" s="17"/>
      <c r="D33" s="8">
        <f>D30-D32</f>
        <v>558684</v>
      </c>
      <c r="E33" s="8"/>
      <c r="F33" s="8">
        <f>F30-F32</f>
        <v>800000</v>
      </c>
      <c r="I33" s="8">
        <f>I30-I32</f>
        <v>613018</v>
      </c>
      <c r="J33" s="14"/>
      <c r="K33" s="14"/>
      <c r="L33" s="14"/>
      <c r="M33" s="14"/>
    </row>
    <row r="34" spans="1:16" x14ac:dyDescent="0.2">
      <c r="A34" s="7" t="s">
        <v>54</v>
      </c>
      <c r="B34" s="16" t="s">
        <v>72</v>
      </c>
      <c r="C34" s="16"/>
      <c r="D34" s="15">
        <f>FLOOR(D33,100)*0.15</f>
        <v>83790</v>
      </c>
      <c r="E34" s="15"/>
      <c r="F34" s="15">
        <f>FLOOR(F33,100)*0.15</f>
        <v>120000</v>
      </c>
      <c r="G34" s="14"/>
      <c r="H34" s="14"/>
      <c r="I34" s="15">
        <f>FLOOR(I33,100)*0.15</f>
        <v>91950</v>
      </c>
      <c r="J34" s="14"/>
      <c r="K34" s="14"/>
      <c r="L34" s="14"/>
      <c r="M34" s="14"/>
      <c r="P34" s="13"/>
    </row>
    <row r="35" spans="1:16" x14ac:dyDescent="0.2">
      <c r="A35" s="7" t="s">
        <v>55</v>
      </c>
      <c r="B35" s="16" t="s">
        <v>12</v>
      </c>
      <c r="C35" s="11">
        <v>30840</v>
      </c>
      <c r="D35" s="49">
        <f>D34-C35</f>
        <v>52950</v>
      </c>
      <c r="E35" s="15"/>
      <c r="F35" s="85">
        <f>F34-C35</f>
        <v>89160</v>
      </c>
      <c r="I35" s="85">
        <f>I34-C35</f>
        <v>61110</v>
      </c>
      <c r="P35" s="14"/>
    </row>
    <row r="36" spans="1:16" x14ac:dyDescent="0.2">
      <c r="A36" s="7" t="s">
        <v>56</v>
      </c>
      <c r="B36" t="s">
        <v>30</v>
      </c>
      <c r="C36" s="12">
        <v>0.55000000000000004</v>
      </c>
      <c r="D36" s="37">
        <f>D33*C36</f>
        <v>307276.2</v>
      </c>
      <c r="E36" s="13"/>
      <c r="F36" s="13">
        <f>F33*C36</f>
        <v>440000.00000000006</v>
      </c>
      <c r="G36" s="14"/>
      <c r="H36" s="14"/>
      <c r="I36" s="13">
        <f>I33*C36</f>
        <v>337159.9</v>
      </c>
      <c r="J36" s="14"/>
      <c r="K36" s="14"/>
      <c r="L36" s="14"/>
      <c r="M36" s="14"/>
      <c r="P36" s="13"/>
    </row>
    <row r="37" spans="1:16" x14ac:dyDescent="0.2">
      <c r="A37" s="7" t="s">
        <v>57</v>
      </c>
      <c r="B37" t="s">
        <v>31</v>
      </c>
      <c r="C37" s="12">
        <v>0.5</v>
      </c>
      <c r="D37" s="94">
        <f>D33*C37</f>
        <v>279342</v>
      </c>
      <c r="E37" s="14"/>
      <c r="F37" s="14">
        <f>F33*C37</f>
        <v>400000</v>
      </c>
      <c r="H37" s="14"/>
      <c r="I37" s="14">
        <f>I33*C37</f>
        <v>306509</v>
      </c>
      <c r="J37" s="14"/>
      <c r="K37" s="14"/>
      <c r="L37" s="14"/>
      <c r="M37" s="14"/>
      <c r="P37" s="13"/>
    </row>
    <row r="38" spans="1:16" x14ac:dyDescent="0.2">
      <c r="A38" s="7" t="s">
        <v>58</v>
      </c>
      <c r="B38" t="s">
        <v>34</v>
      </c>
      <c r="C38" s="35">
        <v>0.29199999999999998</v>
      </c>
      <c r="D38" s="49">
        <f>ROUND(D36*C38,1)</f>
        <v>89724.7</v>
      </c>
      <c r="E38" s="114" t="b">
        <f>F38=F36*C38</f>
        <v>1</v>
      </c>
      <c r="F38" s="49">
        <f>ROUND(F36*C38,1)</f>
        <v>128480</v>
      </c>
      <c r="G38" s="114" t="s">
        <v>32</v>
      </c>
      <c r="H38" s="112">
        <f>ROUND(I36*C38,1)</f>
        <v>98450.7</v>
      </c>
      <c r="I38" s="49">
        <f>ROUND(H38,1)</f>
        <v>98450.7</v>
      </c>
      <c r="J38" s="37" t="s">
        <v>32</v>
      </c>
      <c r="P38" s="14"/>
    </row>
    <row r="39" spans="1:16" x14ac:dyDescent="0.2">
      <c r="A39" s="7" t="s">
        <v>59</v>
      </c>
      <c r="B39" t="s">
        <v>35</v>
      </c>
      <c r="C39" s="35">
        <v>0.13500000000000001</v>
      </c>
      <c r="D39" s="49">
        <v>37716</v>
      </c>
      <c r="E39" s="114" t="s">
        <v>33</v>
      </c>
      <c r="F39" s="49">
        <f>ROUND(F37*C39,1)</f>
        <v>54000</v>
      </c>
      <c r="G39" s="114" t="s">
        <v>33</v>
      </c>
      <c r="H39" s="112">
        <f>ROUND(I37*C39,1)</f>
        <v>41378.699999999997</v>
      </c>
      <c r="I39" s="49">
        <f>H39</f>
        <v>41378.699999999997</v>
      </c>
      <c r="J39" s="37" t="s">
        <v>33</v>
      </c>
      <c r="K39" s="14"/>
      <c r="L39" s="14"/>
      <c r="M39" s="14"/>
      <c r="P39" s="14"/>
    </row>
    <row r="40" spans="1:16" x14ac:dyDescent="0.2">
      <c r="A40" s="7" t="s">
        <v>60</v>
      </c>
      <c r="B40" t="s">
        <v>10</v>
      </c>
      <c r="C40" s="35"/>
      <c r="D40" s="14">
        <f>D39+D38+D35</f>
        <v>180390.7</v>
      </c>
      <c r="E40" s="14"/>
      <c r="F40" s="14">
        <f>F35+F38+F39</f>
        <v>271640</v>
      </c>
      <c r="G40" s="14"/>
      <c r="H40" s="14"/>
      <c r="I40" s="14">
        <f>I35+I38+I39</f>
        <v>200939.40000000002</v>
      </c>
      <c r="J40" s="14"/>
      <c r="K40" s="14"/>
      <c r="L40" s="14"/>
      <c r="M40" s="14"/>
      <c r="P40" s="14"/>
    </row>
    <row r="41" spans="1:16" x14ac:dyDescent="0.2">
      <c r="A41" s="7" t="s">
        <v>61</v>
      </c>
      <c r="B41" t="s">
        <v>36</v>
      </c>
      <c r="D41" s="93">
        <f>D40/D30</f>
        <v>0.12915401192803089</v>
      </c>
      <c r="E41" s="35"/>
      <c r="F41" s="35">
        <f>F40/F30</f>
        <v>0.13582</v>
      </c>
      <c r="G41" s="35"/>
      <c r="H41" s="35"/>
      <c r="I41" s="35">
        <f>I40/I30</f>
        <v>0.13111484491483122</v>
      </c>
      <c r="N41" s="35"/>
      <c r="O41" s="35"/>
      <c r="P41" s="35"/>
    </row>
    <row r="42" spans="1:16" x14ac:dyDescent="0.2">
      <c r="A42" s="7" t="s">
        <v>62</v>
      </c>
      <c r="B42" t="s">
        <v>37</v>
      </c>
      <c r="D42" s="14">
        <f>F4</f>
        <v>16745</v>
      </c>
      <c r="E42" s="14"/>
      <c r="F42" s="14">
        <f>F4</f>
        <v>16745</v>
      </c>
      <c r="G42" s="14"/>
      <c r="H42" s="14"/>
      <c r="I42" s="14">
        <f>F4</f>
        <v>16745</v>
      </c>
      <c r="J42" s="14"/>
      <c r="K42" s="14"/>
      <c r="L42" s="14"/>
      <c r="M42" s="14"/>
      <c r="P42" s="14"/>
    </row>
    <row r="43" spans="1:16" x14ac:dyDescent="0.2">
      <c r="A43" s="7" t="s">
        <v>63</v>
      </c>
      <c r="B43" t="s">
        <v>38</v>
      </c>
      <c r="C43">
        <v>12</v>
      </c>
      <c r="D43" s="14">
        <f>D42*C43</f>
        <v>200940</v>
      </c>
      <c r="E43" s="35"/>
      <c r="F43" s="14">
        <f>F42*C43</f>
        <v>200940</v>
      </c>
      <c r="G43" s="35"/>
      <c r="H43" s="35"/>
      <c r="I43" s="66">
        <f>I42*C43</f>
        <v>200940</v>
      </c>
      <c r="J43" s="14"/>
      <c r="K43" s="14"/>
      <c r="L43" s="14"/>
      <c r="M43" s="14"/>
      <c r="N43" s="35"/>
      <c r="O43" s="35"/>
      <c r="P43" s="35"/>
    </row>
    <row r="44" spans="1:16" x14ac:dyDescent="0.2">
      <c r="A44" s="7" t="s">
        <v>64</v>
      </c>
      <c r="B44" t="s">
        <v>9</v>
      </c>
      <c r="D44" s="34">
        <f>D43-D40</f>
        <v>20549.299999999988</v>
      </c>
      <c r="F44" s="99">
        <f>F43-F40</f>
        <v>-70700</v>
      </c>
      <c r="I44" s="14">
        <f>I43-I40</f>
        <v>0.59999999997671694</v>
      </c>
    </row>
    <row r="75" spans="2:16" ht="29" customHeight="1" x14ac:dyDescent="0.2">
      <c r="B75" s="90">
        <v>0.5</v>
      </c>
      <c r="C75" s="77"/>
      <c r="D75" s="8" t="s">
        <v>45</v>
      </c>
      <c r="E75" s="91" t="s">
        <v>26</v>
      </c>
      <c r="F75" s="8"/>
      <c r="G75" s="8"/>
      <c r="H75" s="8"/>
      <c r="I75" s="8"/>
      <c r="J75" s="8"/>
      <c r="K75" s="8"/>
      <c r="L75" s="8"/>
      <c r="M75" s="8"/>
      <c r="N75" s="8"/>
      <c r="O75" s="46"/>
      <c r="P75" s="20"/>
    </row>
    <row r="76" spans="2:16" ht="16" customHeight="1" x14ac:dyDescent="0.2">
      <c r="B76" s="19" t="s">
        <v>21</v>
      </c>
      <c r="C76" s="83">
        <v>0.5</v>
      </c>
      <c r="D76" s="51">
        <v>279342</v>
      </c>
      <c r="E76" s="91" t="s">
        <v>28</v>
      </c>
      <c r="F76" s="8"/>
      <c r="G76" s="8"/>
      <c r="H76" s="8"/>
      <c r="I76" s="8">
        <v>319200</v>
      </c>
      <c r="J76" s="1" t="s">
        <v>24</v>
      </c>
      <c r="K76" s="8"/>
      <c r="L76" s="8"/>
      <c r="M76" s="8">
        <v>470400</v>
      </c>
      <c r="N76" s="8" t="s">
        <v>24</v>
      </c>
      <c r="O76" s="46"/>
      <c r="P76" s="20"/>
    </row>
    <row r="77" spans="2:16" ht="17" x14ac:dyDescent="0.2">
      <c r="B77" s="4" t="s">
        <v>6</v>
      </c>
      <c r="C77" s="78"/>
      <c r="D77" s="85">
        <f>D76*2</f>
        <v>558684</v>
      </c>
      <c r="E77" s="91" t="s">
        <v>26</v>
      </c>
      <c r="F77" s="1">
        <v>3143</v>
      </c>
      <c r="G77" s="1">
        <f>F77*12</f>
        <v>37716</v>
      </c>
      <c r="H77" s="1"/>
      <c r="I77" s="85">
        <f>(I76/C76)*100%</f>
        <v>638400</v>
      </c>
      <c r="J77" s="10"/>
      <c r="K77" s="1">
        <f>I76*0.135/12</f>
        <v>3591</v>
      </c>
      <c r="L77" s="1">
        <f>K77*12</f>
        <v>43092</v>
      </c>
      <c r="M77" s="8">
        <f>M76*2</f>
        <v>940800</v>
      </c>
      <c r="N77" s="1">
        <f>M76*0.135/12</f>
        <v>5292.0000000000009</v>
      </c>
      <c r="O77" s="47"/>
      <c r="P77" s="21">
        <f>N77*12</f>
        <v>63504.000000000015</v>
      </c>
    </row>
    <row r="78" spans="2:16" ht="17" x14ac:dyDescent="0.2">
      <c r="B78" s="52" t="s">
        <v>17</v>
      </c>
      <c r="C78" s="79"/>
      <c r="D78" s="60">
        <f>CEILING(D76*0.135,1)</f>
        <v>37712</v>
      </c>
      <c r="E78" s="60"/>
      <c r="F78" s="1"/>
      <c r="G78" s="1"/>
      <c r="H78" s="1"/>
      <c r="I78" s="10"/>
      <c r="J78" s="10"/>
      <c r="K78" s="1"/>
      <c r="L78" s="1"/>
      <c r="M78" s="8"/>
      <c r="N78" s="1"/>
      <c r="O78" s="47"/>
      <c r="P78" s="21"/>
    </row>
    <row r="79" spans="2:16" ht="17" x14ac:dyDescent="0.2">
      <c r="B79" s="4" t="s">
        <v>18</v>
      </c>
      <c r="C79" s="78"/>
      <c r="D79" s="8">
        <f>CEILING(D78/12,1)</f>
        <v>3143</v>
      </c>
      <c r="E79" s="8"/>
      <c r="F79" s="1"/>
      <c r="G79" s="1"/>
      <c r="H79" s="1"/>
      <c r="I79" s="10"/>
      <c r="J79" s="10"/>
      <c r="K79" s="1"/>
      <c r="L79" s="1"/>
      <c r="M79" s="8"/>
      <c r="N79" s="1"/>
      <c r="O79" s="47"/>
      <c r="P79" s="21"/>
    </row>
    <row r="80" spans="2:16" x14ac:dyDescent="0.2">
      <c r="B80" s="89">
        <v>0.35</v>
      </c>
      <c r="C80" s="78"/>
      <c r="D80" s="9">
        <f>D79*12</f>
        <v>37716</v>
      </c>
      <c r="E80" s="9"/>
      <c r="F80" s="1"/>
      <c r="G80" s="1"/>
      <c r="H80" s="1"/>
      <c r="I80" s="10"/>
      <c r="J80" s="10"/>
      <c r="K80" s="1"/>
      <c r="L80" s="1"/>
      <c r="M80" s="8"/>
      <c r="N80" s="1"/>
      <c r="O80" s="47"/>
      <c r="P80" s="21"/>
    </row>
    <row r="81" spans="2:16" ht="17" x14ac:dyDescent="0.2">
      <c r="B81" s="4" t="s">
        <v>23</v>
      </c>
      <c r="C81" s="83">
        <v>0.55000000000000004</v>
      </c>
      <c r="D81" s="51">
        <f>CEILING(D82*0.35,1)</f>
        <v>195540</v>
      </c>
      <c r="E81" s="91" t="s">
        <v>27</v>
      </c>
      <c r="F81" s="1"/>
      <c r="G81" s="1"/>
      <c r="H81" s="1"/>
      <c r="I81" s="8">
        <v>26600</v>
      </c>
      <c r="J81" s="8"/>
      <c r="K81" s="1"/>
      <c r="L81" s="1"/>
      <c r="M81" s="1">
        <v>39000</v>
      </c>
      <c r="N81" s="1"/>
      <c r="O81" s="47"/>
      <c r="P81" s="20"/>
    </row>
    <row r="82" spans="2:16" ht="17" x14ac:dyDescent="0.2">
      <c r="B82" s="6" t="s">
        <v>25</v>
      </c>
      <c r="C82" s="80"/>
      <c r="D82" s="85">
        <f>D77</f>
        <v>558684</v>
      </c>
      <c r="E82" s="91" t="s">
        <v>26</v>
      </c>
      <c r="F82" s="1" t="e">
        <f>CEILING(#REF!*1.15,1)</f>
        <v>#REF!</v>
      </c>
      <c r="G82" s="1" t="e">
        <f>F82*12</f>
        <v>#REF!</v>
      </c>
      <c r="H82" s="1"/>
      <c r="I82" s="85">
        <f>(I81*12)*2</f>
        <v>638400</v>
      </c>
      <c r="J82" s="9"/>
      <c r="K82" s="1">
        <f>I81*0.292</f>
        <v>7767.2</v>
      </c>
      <c r="L82" s="1">
        <f>K82*12</f>
        <v>93206.399999999994</v>
      </c>
      <c r="M82" s="9">
        <f>(M81*12)*2</f>
        <v>936000</v>
      </c>
      <c r="N82" s="1">
        <f>M81*0.292</f>
        <v>11388</v>
      </c>
      <c r="O82" s="47"/>
      <c r="P82" s="21">
        <f>N82*12</f>
        <v>136656</v>
      </c>
    </row>
    <row r="83" spans="2:16" ht="17" x14ac:dyDescent="0.2">
      <c r="B83" s="53" t="s">
        <v>19</v>
      </c>
      <c r="C83" s="81"/>
      <c r="D83" s="60">
        <f>D81*0.292</f>
        <v>57097.679999999993</v>
      </c>
      <c r="E83" s="60"/>
      <c r="F83" s="1"/>
      <c r="G83" s="1"/>
      <c r="H83" s="1"/>
      <c r="I83" s="9"/>
      <c r="J83" s="9"/>
      <c r="K83" s="1"/>
      <c r="L83" s="1"/>
      <c r="M83" s="9"/>
      <c r="N83" s="1"/>
      <c r="O83" s="47"/>
      <c r="P83" s="21"/>
    </row>
    <row r="84" spans="2:16" ht="17" x14ac:dyDescent="0.2">
      <c r="B84" s="6" t="s">
        <v>20</v>
      </c>
      <c r="C84" s="80"/>
      <c r="D84" s="8">
        <f>CEILING(D83/12,1)</f>
        <v>4759</v>
      </c>
      <c r="E84" s="8"/>
      <c r="F84" s="1"/>
      <c r="G84" s="1"/>
      <c r="H84" s="1"/>
      <c r="I84" s="9"/>
      <c r="J84" s="9"/>
      <c r="K84" s="1"/>
      <c r="L84" s="1"/>
      <c r="M84" s="9"/>
      <c r="N84" s="1"/>
      <c r="O84" s="47"/>
      <c r="P84" s="21"/>
    </row>
    <row r="85" spans="2:16" x14ac:dyDescent="0.2">
      <c r="B85" s="6"/>
      <c r="C85" s="80"/>
      <c r="D85" s="9">
        <f>D84*12</f>
        <v>57108</v>
      </c>
      <c r="E85" s="9"/>
      <c r="F85" s="1"/>
      <c r="G85" s="1"/>
      <c r="H85" s="1"/>
      <c r="I85" s="9"/>
      <c r="J85" s="9"/>
      <c r="K85" s="1"/>
      <c r="L85" s="1"/>
      <c r="M85" s="9"/>
      <c r="N85" s="1"/>
      <c r="O85" s="47"/>
      <c r="P85" s="21"/>
    </row>
    <row r="86" spans="2:16" ht="29" customHeight="1" x14ac:dyDescent="0.2">
      <c r="B86" s="4" t="s">
        <v>13</v>
      </c>
      <c r="C86" s="78"/>
      <c r="D86" s="8"/>
      <c r="E86" s="8"/>
      <c r="F86" s="1">
        <v>100</v>
      </c>
      <c r="G86" s="1">
        <f>F86*12</f>
        <v>1200</v>
      </c>
      <c r="H86" s="1"/>
      <c r="I86" s="1"/>
      <c r="J86" s="1"/>
      <c r="K86" s="1">
        <v>4963</v>
      </c>
      <c r="L86" s="8">
        <f>K86*12</f>
        <v>59556</v>
      </c>
      <c r="M86" s="1"/>
      <c r="N86" s="1">
        <v>9320</v>
      </c>
      <c r="O86" s="47"/>
      <c r="P86" s="21">
        <f>N86*12</f>
        <v>111840</v>
      </c>
    </row>
    <row r="87" spans="2:16" ht="18" thickBot="1" x14ac:dyDescent="0.25">
      <c r="B87" s="22" t="s">
        <v>8</v>
      </c>
      <c r="C87" s="82"/>
      <c r="D87" s="23"/>
      <c r="E87" s="23"/>
      <c r="F87" s="84" t="e">
        <f>SUM(F76:F86)</f>
        <v>#REF!</v>
      </c>
      <c r="G87" s="84" t="e">
        <f>SUM(G77:G86)</f>
        <v>#REF!</v>
      </c>
      <c r="H87" s="61"/>
      <c r="I87" s="23"/>
      <c r="J87" s="23"/>
      <c r="K87" s="24">
        <f>K71*12</f>
        <v>0</v>
      </c>
      <c r="L87" s="25">
        <f>SUM(L77:L86)</f>
        <v>195854.4</v>
      </c>
      <c r="M87" s="23"/>
      <c r="N87" s="26">
        <f>N71*12</f>
        <v>0</v>
      </c>
      <c r="O87" s="26"/>
      <c r="P87" s="27">
        <f>SUM(P77:P86)</f>
        <v>312000</v>
      </c>
    </row>
  </sheetData>
  <mergeCells count="2">
    <mergeCell ref="D3:G3"/>
    <mergeCell ref="I3:L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78052-0549-DE44-B2F1-052DC6A95FA9}">
  <dimension ref="A1:R80"/>
  <sheetViews>
    <sheetView zoomScale="107" zoomScaleNormal="110" workbookViewId="0">
      <selection activeCell="G20" sqref="G20"/>
    </sheetView>
  </sheetViews>
  <sheetFormatPr baseColWidth="10" defaultRowHeight="16" x14ac:dyDescent="0.2"/>
  <cols>
    <col min="1" max="1" width="5.6640625" style="7" customWidth="1"/>
    <col min="2" max="2" width="35.6640625" bestFit="1" customWidth="1"/>
    <col min="3" max="3" width="12.83203125" customWidth="1"/>
    <col min="4" max="4" width="33.1640625" customWidth="1"/>
    <col min="5" max="5" width="20.1640625" bestFit="1" customWidth="1"/>
    <col min="6" max="6" width="16.1640625" customWidth="1"/>
    <col min="7" max="7" width="20.6640625" customWidth="1"/>
    <col min="8" max="8" width="20" bestFit="1" customWidth="1"/>
    <col min="9" max="10" width="21.83203125" customWidth="1"/>
    <col min="11" max="11" width="22.6640625" customWidth="1"/>
    <col min="12" max="12" width="13.83203125" customWidth="1"/>
    <col min="13" max="13" width="23.1640625" customWidth="1"/>
    <col min="14" max="15" width="24" customWidth="1"/>
    <col min="16" max="16" width="14" customWidth="1"/>
  </cols>
  <sheetData>
    <row r="1" spans="1:16" ht="17" thickBot="1" x14ac:dyDescent="0.25">
      <c r="C1">
        <v>12</v>
      </c>
      <c r="D1">
        <v>46557</v>
      </c>
    </row>
    <row r="2" spans="1:16" ht="17" thickBot="1" x14ac:dyDescent="0.25">
      <c r="B2" s="2" t="s">
        <v>1</v>
      </c>
      <c r="C2" s="73"/>
      <c r="D2" s="3"/>
      <c r="E2" s="3"/>
      <c r="F2" s="3">
        <v>2025</v>
      </c>
      <c r="G2" s="3"/>
      <c r="H2" s="3"/>
      <c r="I2" s="3"/>
      <c r="J2" s="3"/>
      <c r="K2" s="3"/>
      <c r="L2" s="3"/>
      <c r="M2" s="3"/>
      <c r="N2" s="3"/>
      <c r="O2" s="18"/>
    </row>
    <row r="3" spans="1:16" ht="17" thickBot="1" x14ac:dyDescent="0.25">
      <c r="B3" s="28" t="s">
        <v>2</v>
      </c>
      <c r="C3" s="74"/>
      <c r="D3" s="128" t="s">
        <v>5</v>
      </c>
      <c r="E3" s="128"/>
      <c r="F3" s="128"/>
      <c r="G3" s="128"/>
      <c r="H3" s="59"/>
      <c r="I3" s="129" t="s">
        <v>4</v>
      </c>
      <c r="J3" s="129"/>
      <c r="K3" s="129"/>
      <c r="L3" s="129"/>
      <c r="M3" s="36" t="s">
        <v>5</v>
      </c>
      <c r="N3" s="36"/>
      <c r="O3" s="44"/>
      <c r="P3" s="5"/>
    </row>
    <row r="4" spans="1:16" ht="29" customHeight="1" thickBot="1" x14ac:dyDescent="0.25">
      <c r="B4" s="29" t="s">
        <v>0</v>
      </c>
      <c r="C4" s="75"/>
      <c r="D4" s="30"/>
      <c r="E4" s="30"/>
      <c r="F4" s="86">
        <v>27139</v>
      </c>
      <c r="G4" s="31"/>
      <c r="H4" s="31"/>
      <c r="I4" s="30"/>
      <c r="J4" s="30"/>
      <c r="K4" s="33">
        <f>16745</f>
        <v>16745</v>
      </c>
      <c r="L4" s="31" t="s">
        <v>11</v>
      </c>
      <c r="M4" s="30"/>
      <c r="N4" s="33">
        <v>27139</v>
      </c>
      <c r="O4" s="45"/>
      <c r="P4" s="32" t="s">
        <v>11</v>
      </c>
    </row>
    <row r="5" spans="1:16" ht="29" customHeight="1" x14ac:dyDescent="0.2">
      <c r="B5" s="67"/>
      <c r="C5" s="76"/>
      <c r="D5" s="68">
        <v>558684</v>
      </c>
      <c r="E5" s="91" t="s">
        <v>26</v>
      </c>
      <c r="F5" s="66"/>
      <c r="G5" s="69"/>
      <c r="H5" s="69"/>
      <c r="I5" s="68"/>
      <c r="J5" s="68"/>
      <c r="K5" s="70"/>
      <c r="L5" s="69"/>
      <c r="M5" s="68"/>
      <c r="N5" s="70"/>
      <c r="O5" s="71"/>
      <c r="P5" s="72"/>
    </row>
    <row r="6" spans="1:16" x14ac:dyDescent="0.2">
      <c r="N6" s="8"/>
      <c r="O6" s="48"/>
    </row>
    <row r="8" spans="1:16" x14ac:dyDescent="0.2">
      <c r="B8" t="s">
        <v>68</v>
      </c>
      <c r="D8" s="63">
        <v>0.4</v>
      </c>
      <c r="E8" s="116" t="s">
        <v>70</v>
      </c>
      <c r="F8" s="88"/>
      <c r="G8" s="87"/>
    </row>
    <row r="9" spans="1:16" x14ac:dyDescent="0.2">
      <c r="D9" s="65" t="s">
        <v>43</v>
      </c>
      <c r="E9" s="65"/>
      <c r="G9" s="65" t="s">
        <v>22</v>
      </c>
    </row>
    <row r="10" spans="1:16" x14ac:dyDescent="0.2">
      <c r="A10" s="7" t="s">
        <v>50</v>
      </c>
      <c r="B10" s="16" t="s">
        <v>7</v>
      </c>
      <c r="C10" s="16"/>
      <c r="D10" s="15">
        <v>2000000</v>
      </c>
      <c r="E10" s="15"/>
      <c r="F10" s="15"/>
      <c r="G10" s="39">
        <v>1571500</v>
      </c>
    </row>
    <row r="11" spans="1:16" x14ac:dyDescent="0.2">
      <c r="A11" s="7" t="s">
        <v>51</v>
      </c>
      <c r="B11" s="17" t="s">
        <v>41</v>
      </c>
      <c r="C11" s="16"/>
      <c r="D11" s="15">
        <f>D10/12</f>
        <v>166666.66666666666</v>
      </c>
      <c r="E11" s="15"/>
      <c r="F11" s="15">
        <f t="shared" ref="F11" si="0">F10/12</f>
        <v>0</v>
      </c>
      <c r="G11" s="15">
        <f>G10/12</f>
        <v>130958.33333333333</v>
      </c>
    </row>
    <row r="12" spans="1:16" x14ac:dyDescent="0.2">
      <c r="A12" s="7" t="s">
        <v>52</v>
      </c>
      <c r="B12" s="17" t="s">
        <v>42</v>
      </c>
      <c r="C12" s="17"/>
      <c r="D12" s="15">
        <f>D10*D8</f>
        <v>800000</v>
      </c>
      <c r="E12" s="15"/>
      <c r="F12" s="15"/>
      <c r="G12" s="15">
        <f>G10*D8</f>
        <v>628600</v>
      </c>
    </row>
    <row r="13" spans="1:16" ht="17" x14ac:dyDescent="0.2">
      <c r="A13" s="7" t="s">
        <v>53</v>
      </c>
      <c r="B13" s="17" t="s">
        <v>14</v>
      </c>
      <c r="C13" s="17"/>
      <c r="D13" s="8">
        <f>D10-D12</f>
        <v>1200000</v>
      </c>
      <c r="E13" s="109" t="s">
        <v>47</v>
      </c>
      <c r="F13" s="8"/>
      <c r="G13" s="8">
        <f>G10-G12</f>
        <v>942900</v>
      </c>
    </row>
    <row r="14" spans="1:16" ht="17" customHeight="1" x14ac:dyDescent="0.2">
      <c r="A14" s="7" t="s">
        <v>54</v>
      </c>
      <c r="B14" s="16" t="s">
        <v>72</v>
      </c>
      <c r="C14" s="16"/>
      <c r="D14" s="15">
        <f>FLOOR(D13,100)*0.15</f>
        <v>180000</v>
      </c>
      <c r="E14" s="110"/>
      <c r="F14" s="15"/>
      <c r="G14" s="15">
        <f>FLOOR(G13,100)*0.15</f>
        <v>141435</v>
      </c>
      <c r="H14" s="103"/>
    </row>
    <row r="15" spans="1:16" x14ac:dyDescent="0.2">
      <c r="A15" s="7" t="s">
        <v>55</v>
      </c>
      <c r="B15" s="16" t="s">
        <v>29</v>
      </c>
      <c r="C15" s="11">
        <v>30840</v>
      </c>
      <c r="D15" s="85">
        <f>D14-C15</f>
        <v>149160</v>
      </c>
      <c r="E15" s="111"/>
      <c r="F15" s="40"/>
      <c r="G15" s="85">
        <f>G14-C15</f>
        <v>110595</v>
      </c>
      <c r="H15" s="103"/>
    </row>
    <row r="16" spans="1:16" x14ac:dyDescent="0.2">
      <c r="A16" s="7" t="s">
        <v>56</v>
      </c>
      <c r="B16" t="s">
        <v>30</v>
      </c>
      <c r="C16" s="12">
        <v>0.55000000000000004</v>
      </c>
      <c r="D16" s="13">
        <f>D13*C16</f>
        <v>660000</v>
      </c>
      <c r="E16" s="112"/>
      <c r="F16" s="13"/>
      <c r="G16" s="13">
        <f>G13*C16</f>
        <v>518595.00000000006</v>
      </c>
      <c r="H16" s="54"/>
    </row>
    <row r="17" spans="1:18" ht="18" customHeight="1" x14ac:dyDescent="0.2">
      <c r="A17" s="7" t="s">
        <v>57</v>
      </c>
      <c r="B17" t="s">
        <v>31</v>
      </c>
      <c r="C17" s="12">
        <v>0.5</v>
      </c>
      <c r="D17" s="13">
        <f>D13*C17</f>
        <v>600000</v>
      </c>
      <c r="E17" s="112"/>
      <c r="F17" s="13"/>
      <c r="G17" s="13">
        <f>G13*C17</f>
        <v>471450</v>
      </c>
      <c r="H17" s="54"/>
    </row>
    <row r="18" spans="1:18" x14ac:dyDescent="0.2">
      <c r="A18" s="7" t="s">
        <v>58</v>
      </c>
      <c r="B18" t="s">
        <v>73</v>
      </c>
      <c r="C18" s="35">
        <v>0.29199999999999998</v>
      </c>
      <c r="D18" s="37">
        <f>ROUND(D16*C18,1)</f>
        <v>192720</v>
      </c>
      <c r="E18" s="114" t="s">
        <v>32</v>
      </c>
      <c r="F18" s="95"/>
      <c r="G18" s="37">
        <f>ROUND(G16*C18,1)</f>
        <v>151429.70000000001</v>
      </c>
      <c r="H18" s="114" t="s">
        <v>32</v>
      </c>
      <c r="R18" s="13"/>
    </row>
    <row r="19" spans="1:18" x14ac:dyDescent="0.2">
      <c r="A19" s="7" t="s">
        <v>59</v>
      </c>
      <c r="B19" t="s">
        <v>74</v>
      </c>
      <c r="C19" s="35">
        <v>0.13500000000000001</v>
      </c>
      <c r="D19" s="37">
        <f>ROUND(D17*C19,1)</f>
        <v>81000</v>
      </c>
      <c r="E19" s="114" t="s">
        <v>33</v>
      </c>
      <c r="F19" s="95"/>
      <c r="G19" s="37">
        <f>ROUND(G17*C19,1)</f>
        <v>63645.8</v>
      </c>
      <c r="H19" s="114" t="s">
        <v>33</v>
      </c>
      <c r="R19" s="12"/>
    </row>
    <row r="20" spans="1:18" x14ac:dyDescent="0.2">
      <c r="A20" s="7" t="s">
        <v>60</v>
      </c>
      <c r="B20" t="s">
        <v>10</v>
      </c>
      <c r="D20" s="14">
        <f>D15+D18+D19</f>
        <v>422880</v>
      </c>
      <c r="E20" s="115"/>
      <c r="F20" s="14"/>
      <c r="G20" s="14">
        <f>G15+G18+G19</f>
        <v>325670.5</v>
      </c>
      <c r="H20" s="56"/>
    </row>
    <row r="21" spans="1:18" x14ac:dyDescent="0.2">
      <c r="A21" s="7" t="s">
        <v>61</v>
      </c>
      <c r="B21" t="s">
        <v>36</v>
      </c>
      <c r="D21" s="35">
        <f>D20/D10</f>
        <v>0.21143999999999999</v>
      </c>
      <c r="E21" s="12"/>
      <c r="F21" s="12"/>
      <c r="G21" s="35">
        <f>G20/G10</f>
        <v>0.20723544384346165</v>
      </c>
      <c r="H21" s="57"/>
    </row>
    <row r="22" spans="1:18" x14ac:dyDescent="0.2">
      <c r="A22" s="7" t="s">
        <v>62</v>
      </c>
      <c r="B22" t="s">
        <v>37</v>
      </c>
      <c r="D22" s="13">
        <f>F4</f>
        <v>27139</v>
      </c>
      <c r="E22" s="13"/>
      <c r="F22" s="13"/>
      <c r="G22" s="13">
        <f>F4</f>
        <v>27139</v>
      </c>
      <c r="H22" s="54"/>
    </row>
    <row r="23" spans="1:18" x14ac:dyDescent="0.2">
      <c r="A23" s="7" t="s">
        <v>63</v>
      </c>
      <c r="B23" t="s">
        <v>38</v>
      </c>
      <c r="C23">
        <v>12</v>
      </c>
      <c r="D23" s="14">
        <f>D22*C1</f>
        <v>325668</v>
      </c>
      <c r="E23" s="13"/>
      <c r="F23" s="13"/>
      <c r="G23" s="14">
        <f>G22*C1</f>
        <v>325668</v>
      </c>
      <c r="H23" s="54"/>
    </row>
    <row r="24" spans="1:18" x14ac:dyDescent="0.2">
      <c r="A24" s="7" t="s">
        <v>64</v>
      </c>
      <c r="B24" t="s">
        <v>9</v>
      </c>
      <c r="D24" s="34">
        <f>D23-D20</f>
        <v>-97212</v>
      </c>
      <c r="E24" s="14"/>
      <c r="F24" s="14"/>
      <c r="G24" s="34">
        <f>G23-G20</f>
        <v>-2.5</v>
      </c>
      <c r="H24" s="56"/>
    </row>
    <row r="25" spans="1:18" x14ac:dyDescent="0.2">
      <c r="F25" s="14"/>
      <c r="G25" s="14"/>
      <c r="H25" s="14"/>
      <c r="I25" s="14"/>
      <c r="J25" s="14"/>
    </row>
    <row r="68" spans="2:16" ht="29" customHeight="1" x14ac:dyDescent="0.2">
      <c r="B68" s="90">
        <v>0.5</v>
      </c>
      <c r="C68" s="77"/>
      <c r="D68" s="8" t="s">
        <v>45</v>
      </c>
      <c r="E68" s="91" t="s">
        <v>26</v>
      </c>
      <c r="F68" s="8"/>
      <c r="G68" s="8"/>
      <c r="H68" s="8"/>
      <c r="I68" s="8"/>
      <c r="J68" s="8"/>
      <c r="K68" s="8"/>
      <c r="L68" s="8"/>
      <c r="M68" s="8"/>
      <c r="N68" s="8"/>
      <c r="O68" s="46"/>
      <c r="P68" s="20"/>
    </row>
    <row r="69" spans="2:16" ht="16" customHeight="1" x14ac:dyDescent="0.2">
      <c r="B69" s="19" t="s">
        <v>21</v>
      </c>
      <c r="C69" s="83">
        <v>0.5</v>
      </c>
      <c r="D69" s="51">
        <v>279342</v>
      </c>
      <c r="E69" s="91" t="s">
        <v>28</v>
      </c>
      <c r="F69" s="8"/>
      <c r="G69" s="8"/>
      <c r="H69" s="8"/>
      <c r="I69" s="8">
        <v>319200</v>
      </c>
      <c r="J69" s="1" t="s">
        <v>24</v>
      </c>
      <c r="K69" s="8"/>
      <c r="L69" s="8"/>
      <c r="M69" s="8">
        <v>470400</v>
      </c>
      <c r="N69" s="8" t="s">
        <v>24</v>
      </c>
      <c r="O69" s="46"/>
      <c r="P69" s="20"/>
    </row>
    <row r="70" spans="2:16" ht="17" x14ac:dyDescent="0.2">
      <c r="B70" s="4" t="s">
        <v>6</v>
      </c>
      <c r="C70" s="78"/>
      <c r="D70" s="85">
        <f>D69*2</f>
        <v>558684</v>
      </c>
      <c r="E70" s="91" t="s">
        <v>26</v>
      </c>
      <c r="F70" s="1">
        <v>3143</v>
      </c>
      <c r="G70" s="1">
        <f>F70*12</f>
        <v>37716</v>
      </c>
      <c r="H70" s="1"/>
      <c r="I70" s="85">
        <f>(I69/C69)*100%</f>
        <v>638400</v>
      </c>
      <c r="J70" s="10"/>
      <c r="K70" s="1">
        <f>I69*0.135/12</f>
        <v>3591</v>
      </c>
      <c r="L70" s="1">
        <f>K70*12</f>
        <v>43092</v>
      </c>
      <c r="M70" s="8">
        <f>M69*2</f>
        <v>940800</v>
      </c>
      <c r="N70" s="1">
        <f>M69*0.135/12</f>
        <v>5292.0000000000009</v>
      </c>
      <c r="O70" s="47"/>
      <c r="P70" s="21">
        <f>N70*12</f>
        <v>63504.000000000015</v>
      </c>
    </row>
    <row r="71" spans="2:16" ht="17" x14ac:dyDescent="0.2">
      <c r="B71" s="52" t="s">
        <v>17</v>
      </c>
      <c r="C71" s="79"/>
      <c r="D71" s="60">
        <f>CEILING(D69*0.135,1)</f>
        <v>37712</v>
      </c>
      <c r="E71" s="60"/>
      <c r="F71" s="1"/>
      <c r="G71" s="1"/>
      <c r="H71" s="1"/>
      <c r="I71" s="10"/>
      <c r="J71" s="10"/>
      <c r="K71" s="1"/>
      <c r="L71" s="1"/>
      <c r="M71" s="8"/>
      <c r="N71" s="1"/>
      <c r="O71" s="47"/>
      <c r="P71" s="21"/>
    </row>
    <row r="72" spans="2:16" ht="17" x14ac:dyDescent="0.2">
      <c r="B72" s="4" t="s">
        <v>18</v>
      </c>
      <c r="C72" s="78"/>
      <c r="D72" s="8">
        <f>CEILING(D71/12,1)</f>
        <v>3143</v>
      </c>
      <c r="E72" s="8"/>
      <c r="F72" s="1"/>
      <c r="G72" s="1"/>
      <c r="H72" s="1"/>
      <c r="I72" s="10"/>
      <c r="J72" s="10"/>
      <c r="K72" s="1"/>
      <c r="L72" s="1"/>
      <c r="M72" s="8"/>
      <c r="N72" s="1"/>
      <c r="O72" s="47"/>
      <c r="P72" s="21"/>
    </row>
    <row r="73" spans="2:16" x14ac:dyDescent="0.2">
      <c r="B73" s="89">
        <v>0.35</v>
      </c>
      <c r="C73" s="78"/>
      <c r="D73" s="9">
        <f>D72*12</f>
        <v>37716</v>
      </c>
      <c r="E73" s="9"/>
      <c r="F73" s="1"/>
      <c r="G73" s="1"/>
      <c r="H73" s="1"/>
      <c r="I73" s="10"/>
      <c r="J73" s="10"/>
      <c r="K73" s="1"/>
      <c r="L73" s="1"/>
      <c r="M73" s="8"/>
      <c r="N73" s="1"/>
      <c r="O73" s="47"/>
      <c r="P73" s="21"/>
    </row>
    <row r="74" spans="2:16" ht="17" x14ac:dyDescent="0.2">
      <c r="B74" s="4" t="s">
        <v>23</v>
      </c>
      <c r="C74" s="83">
        <v>0.55000000000000004</v>
      </c>
      <c r="D74" s="51">
        <f>CEILING(D75*0.35,1)</f>
        <v>195540</v>
      </c>
      <c r="E74" s="91" t="s">
        <v>27</v>
      </c>
      <c r="F74" s="1"/>
      <c r="G74" s="1"/>
      <c r="H74" s="1"/>
      <c r="I74" s="8">
        <v>26600</v>
      </c>
      <c r="J74" s="8"/>
      <c r="K74" s="1"/>
      <c r="L74" s="1"/>
      <c r="M74" s="1">
        <v>39000</v>
      </c>
      <c r="N74" s="1"/>
      <c r="O74" s="47"/>
      <c r="P74" s="20"/>
    </row>
    <row r="75" spans="2:16" ht="17" x14ac:dyDescent="0.2">
      <c r="B75" s="6" t="s">
        <v>25</v>
      </c>
      <c r="C75" s="80"/>
      <c r="D75" s="85">
        <f>D70</f>
        <v>558684</v>
      </c>
      <c r="E75" s="91" t="s">
        <v>26</v>
      </c>
      <c r="F75" s="1" t="e">
        <f>CEILING(#REF!*1.15,1)</f>
        <v>#REF!</v>
      </c>
      <c r="G75" s="1" t="e">
        <f>F75*12</f>
        <v>#REF!</v>
      </c>
      <c r="H75" s="1"/>
      <c r="I75" s="85">
        <f>(I74*12)*2</f>
        <v>638400</v>
      </c>
      <c r="J75" s="9"/>
      <c r="K75" s="1">
        <f>I74*0.292</f>
        <v>7767.2</v>
      </c>
      <c r="L75" s="1">
        <f>K75*12</f>
        <v>93206.399999999994</v>
      </c>
      <c r="M75" s="9">
        <f>(M74*12)*2</f>
        <v>936000</v>
      </c>
      <c r="N75" s="1">
        <f>M74*0.292</f>
        <v>11388</v>
      </c>
      <c r="O75" s="47"/>
      <c r="P75" s="21">
        <f>N75*12</f>
        <v>136656</v>
      </c>
    </row>
    <row r="76" spans="2:16" ht="17" x14ac:dyDescent="0.2">
      <c r="B76" s="53" t="s">
        <v>19</v>
      </c>
      <c r="C76" s="81"/>
      <c r="D76" s="60">
        <f>D74*0.292</f>
        <v>57097.679999999993</v>
      </c>
      <c r="E76" s="60"/>
      <c r="F76" s="1"/>
      <c r="G76" s="1"/>
      <c r="H76" s="1"/>
      <c r="I76" s="9"/>
      <c r="J76" s="9"/>
      <c r="K76" s="1"/>
      <c r="L76" s="1"/>
      <c r="M76" s="9"/>
      <c r="N76" s="1"/>
      <c r="O76" s="47"/>
      <c r="P76" s="21"/>
    </row>
    <row r="77" spans="2:16" ht="17" x14ac:dyDescent="0.2">
      <c r="B77" s="6" t="s">
        <v>20</v>
      </c>
      <c r="C77" s="80"/>
      <c r="D77" s="8">
        <f>CEILING(D76/12,1)</f>
        <v>4759</v>
      </c>
      <c r="E77" s="8"/>
      <c r="F77" s="1"/>
      <c r="G77" s="1"/>
      <c r="H77" s="1"/>
      <c r="I77" s="9"/>
      <c r="J77" s="9"/>
      <c r="K77" s="1"/>
      <c r="L77" s="1"/>
      <c r="M77" s="9"/>
      <c r="N77" s="1"/>
      <c r="O77" s="47"/>
      <c r="P77" s="21"/>
    </row>
    <row r="78" spans="2:16" x14ac:dyDescent="0.2">
      <c r="B78" s="6"/>
      <c r="C78" s="80"/>
      <c r="D78" s="9">
        <f>D77*12</f>
        <v>57108</v>
      </c>
      <c r="E78" s="9"/>
      <c r="F78" s="1"/>
      <c r="G78" s="1"/>
      <c r="H78" s="1"/>
      <c r="I78" s="9"/>
      <c r="J78" s="9"/>
      <c r="K78" s="1"/>
      <c r="L78" s="1"/>
      <c r="M78" s="9"/>
      <c r="N78" s="1"/>
      <c r="O78" s="47"/>
      <c r="P78" s="21"/>
    </row>
    <row r="79" spans="2:16" ht="29" customHeight="1" x14ac:dyDescent="0.2">
      <c r="B79" s="4" t="s">
        <v>13</v>
      </c>
      <c r="C79" s="78"/>
      <c r="D79" s="8"/>
      <c r="E79" s="8"/>
      <c r="F79" s="1">
        <v>100</v>
      </c>
      <c r="G79" s="1">
        <f>F79*12</f>
        <v>1200</v>
      </c>
      <c r="H79" s="1"/>
      <c r="I79" s="1"/>
      <c r="J79" s="1"/>
      <c r="K79" s="1">
        <v>4963</v>
      </c>
      <c r="L79" s="8">
        <f>K79*12</f>
        <v>59556</v>
      </c>
      <c r="M79" s="1"/>
      <c r="N79" s="1">
        <v>9320</v>
      </c>
      <c r="O79" s="47"/>
      <c r="P79" s="21">
        <f>N79*12</f>
        <v>111840</v>
      </c>
    </row>
    <row r="80" spans="2:16" ht="18" thickBot="1" x14ac:dyDescent="0.25">
      <c r="B80" s="22" t="s">
        <v>8</v>
      </c>
      <c r="C80" s="82"/>
      <c r="D80" s="23"/>
      <c r="E80" s="23"/>
      <c r="F80" s="84" t="e">
        <f>SUM(F69:F79)</f>
        <v>#REF!</v>
      </c>
      <c r="G80" s="84" t="e">
        <f>SUM(G70:G79)</f>
        <v>#REF!</v>
      </c>
      <c r="H80" s="61"/>
      <c r="I80" s="23"/>
      <c r="J80" s="23"/>
      <c r="K80" s="24">
        <f>K64*12</f>
        <v>0</v>
      </c>
      <c r="L80" s="25">
        <f>SUM(L70:L79)</f>
        <v>195854.4</v>
      </c>
      <c r="M80" s="23"/>
      <c r="N80" s="26">
        <f>N64*12</f>
        <v>0</v>
      </c>
      <c r="O80" s="26"/>
      <c r="P80" s="27">
        <f>SUM(P70:P79)</f>
        <v>312000</v>
      </c>
    </row>
  </sheetData>
  <mergeCells count="2">
    <mergeCell ref="D3:G3"/>
    <mergeCell ref="I3:L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D6714-337C-334D-996B-605CA7C0EA4E}">
  <dimension ref="A1"/>
  <sheetViews>
    <sheetView workbookViewId="0"/>
  </sheetViews>
  <sheetFormatPr baseColWidth="10" defaultRowHeight="16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paušální daň propočty-PCO-I. pá</vt:lpstr>
      <vt:lpstr>paušální daň propočtyPCO-II. pá</vt:lpstr>
      <vt:lpstr>paušální daň propočtyPCOIII. pá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Pěva Čouková</cp:lastModifiedBy>
  <cp:lastPrinted>2022-09-05T13:00:06Z</cp:lastPrinted>
  <dcterms:created xsi:type="dcterms:W3CDTF">2022-09-05T12:39:33Z</dcterms:created>
  <dcterms:modified xsi:type="dcterms:W3CDTF">2025-04-23T09:18:59Z</dcterms:modified>
</cp:coreProperties>
</file>